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4355" windowHeight="6480"/>
  </bookViews>
  <sheets>
    <sheet name="Лист1" sheetId="1" r:id="rId1"/>
    <sheet name="Лист2" sheetId="2" r:id="rId2"/>
    <sheet name="Лист3" sheetId="3" r:id="rId3"/>
  </sheets>
  <calcPr calcId="125725" iterate="1"/>
</workbook>
</file>

<file path=xl/calcChain.xml><?xml version="1.0" encoding="utf-8"?>
<calcChain xmlns="http://schemas.openxmlformats.org/spreadsheetml/2006/main">
  <c r="Y12" i="1"/>
  <c r="Z12"/>
  <c r="AC12"/>
  <c r="Z17" i="2"/>
  <c r="Z18"/>
  <c r="Z19"/>
  <c r="Z20"/>
  <c r="Z21"/>
  <c r="Z22"/>
  <c r="Z23"/>
  <c r="Z24"/>
  <c r="Z25"/>
  <c r="Z26"/>
  <c r="Z27"/>
  <c r="Z28"/>
  <c r="Z29"/>
  <c r="Z30"/>
  <c r="Z31"/>
  <c r="Z16"/>
  <c r="X17"/>
  <c r="Y17" s="1"/>
  <c r="X18"/>
  <c r="X19"/>
  <c r="X20"/>
  <c r="X21"/>
  <c r="Y21" s="1"/>
  <c r="X22"/>
  <c r="X23"/>
  <c r="X24"/>
  <c r="X25"/>
  <c r="Y25" s="1"/>
  <c r="X26"/>
  <c r="X27"/>
  <c r="X28"/>
  <c r="X29"/>
  <c r="Y29" s="1"/>
  <c r="AA29" s="1"/>
  <c r="X30"/>
  <c r="X31"/>
  <c r="X16"/>
  <c r="Y16" s="1"/>
  <c r="AD37"/>
  <c r="AG38"/>
  <c r="AG37"/>
  <c r="AG30"/>
  <c r="AG26"/>
  <c r="AG22"/>
  <c r="AG18"/>
  <c r="AE31"/>
  <c r="W17"/>
  <c r="W18"/>
  <c r="W19"/>
  <c r="W20"/>
  <c r="W21"/>
  <c r="W22"/>
  <c r="W23"/>
  <c r="W24"/>
  <c r="W25"/>
  <c r="W26"/>
  <c r="W27"/>
  <c r="W28"/>
  <c r="W29"/>
  <c r="W30"/>
  <c r="W31"/>
  <c r="W16"/>
  <c r="AA20"/>
  <c r="Y18"/>
  <c r="AA18" s="1"/>
  <c r="Y19"/>
  <c r="Y20"/>
  <c r="Y22"/>
  <c r="AA22" s="1"/>
  <c r="Y23"/>
  <c r="AA23" s="1"/>
  <c r="Y24"/>
  <c r="AA24" s="1"/>
  <c r="Y26"/>
  <c r="Y27"/>
  <c r="Y28"/>
  <c r="AA28" s="1"/>
  <c r="Y30"/>
  <c r="AA30" s="1"/>
  <c r="Y31"/>
  <c r="AG34"/>
  <c r="AG33"/>
  <c r="AE33"/>
  <c r="AD33"/>
  <c r="AG16"/>
  <c r="AG17"/>
  <c r="AG19"/>
  <c r="AG20"/>
  <c r="AG21"/>
  <c r="AG23"/>
  <c r="AG24"/>
  <c r="AG25"/>
  <c r="AG27"/>
  <c r="AG28"/>
  <c r="AG29"/>
  <c r="AG15"/>
  <c r="Q12"/>
  <c r="P12"/>
  <c r="O12"/>
  <c r="N12"/>
  <c r="S11"/>
  <c r="E5"/>
  <c r="E6"/>
  <c r="E7"/>
  <c r="E8"/>
  <c r="E9"/>
  <c r="E10"/>
  <c r="E11"/>
  <c r="E12"/>
  <c r="E13"/>
  <c r="E14"/>
  <c r="E15"/>
  <c r="C4"/>
  <c r="C5"/>
  <c r="C6"/>
  <c r="C7"/>
  <c r="C8"/>
  <c r="C9"/>
  <c r="C10"/>
  <c r="C11"/>
  <c r="C12"/>
  <c r="C13"/>
  <c r="C14"/>
  <c r="C15"/>
  <c r="C16"/>
  <c r="C17"/>
  <c r="E4" i="1"/>
  <c r="E5"/>
  <c r="E6"/>
  <c r="E7"/>
  <c r="E8"/>
  <c r="E9"/>
  <c r="E10"/>
  <c r="E11"/>
  <c r="E12"/>
  <c r="E13"/>
  <c r="E14"/>
  <c r="E15"/>
  <c r="D17" i="2"/>
  <c r="B4"/>
  <c r="B5"/>
  <c r="B6"/>
  <c r="B7"/>
  <c r="B8"/>
  <c r="B9"/>
  <c r="B10"/>
  <c r="B11"/>
  <c r="B12"/>
  <c r="B13"/>
  <c r="B14"/>
  <c r="B15"/>
  <c r="B16"/>
  <c r="B17"/>
  <c r="B3"/>
  <c r="Q9"/>
  <c r="P9"/>
  <c r="O9"/>
  <c r="N9"/>
  <c r="J34"/>
  <c r="AF31"/>
  <c r="J31"/>
  <c r="O22"/>
  <c r="P22" s="1"/>
  <c r="J22"/>
  <c r="P20"/>
  <c r="O20"/>
  <c r="F19"/>
  <c r="E19"/>
  <c r="L17"/>
  <c r="Q10"/>
  <c r="O10"/>
  <c r="N10"/>
  <c r="C3"/>
  <c r="J34" i="1"/>
  <c r="J31"/>
  <c r="AA17"/>
  <c r="AA18"/>
  <c r="AA19"/>
  <c r="AA20"/>
  <c r="AA21"/>
  <c r="AA22"/>
  <c r="AA23"/>
  <c r="AA24"/>
  <c r="AA25"/>
  <c r="AA26"/>
  <c r="AA27"/>
  <c r="AA28"/>
  <c r="AA29"/>
  <c r="AA30"/>
  <c r="AA31"/>
  <c r="AA16"/>
  <c r="Z17"/>
  <c r="Z18"/>
  <c r="Z19"/>
  <c r="Z20"/>
  <c r="Z21"/>
  <c r="Z22"/>
  <c r="Z23"/>
  <c r="Z24"/>
  <c r="Z25"/>
  <c r="Z26"/>
  <c r="Z27"/>
  <c r="Z28"/>
  <c r="Z29"/>
  <c r="Z30"/>
  <c r="Z31"/>
  <c r="Z16"/>
  <c r="Y17"/>
  <c r="Y18"/>
  <c r="Y19"/>
  <c r="Y20"/>
  <c r="Y21"/>
  <c r="Y22"/>
  <c r="Y23"/>
  <c r="Y24"/>
  <c r="Y25"/>
  <c r="Y26"/>
  <c r="Y27"/>
  <c r="Y28"/>
  <c r="Y29"/>
  <c r="Y30"/>
  <c r="Y31"/>
  <c r="Y16"/>
  <c r="X17"/>
  <c r="X18"/>
  <c r="X19"/>
  <c r="X20"/>
  <c r="X21"/>
  <c r="X22"/>
  <c r="X23"/>
  <c r="X24"/>
  <c r="X25"/>
  <c r="X26"/>
  <c r="X27"/>
  <c r="X28"/>
  <c r="X29"/>
  <c r="X30"/>
  <c r="X31"/>
  <c r="X16"/>
  <c r="P22"/>
  <c r="P20"/>
  <c r="O22"/>
  <c r="O20"/>
  <c r="AG16"/>
  <c r="AG17"/>
  <c r="AG18"/>
  <c r="AG19"/>
  <c r="AG20"/>
  <c r="AG21"/>
  <c r="AG22"/>
  <c r="AG23"/>
  <c r="AG24"/>
  <c r="AG25"/>
  <c r="AG26"/>
  <c r="AG27"/>
  <c r="AG28"/>
  <c r="AG29"/>
  <c r="AG30"/>
  <c r="AG15"/>
  <c r="AG31"/>
  <c r="AF31"/>
  <c r="AE31"/>
  <c r="AE16"/>
  <c r="AE17"/>
  <c r="AE18"/>
  <c r="AE19"/>
  <c r="AE20"/>
  <c r="AE21"/>
  <c r="AE22"/>
  <c r="AE23"/>
  <c r="AE24"/>
  <c r="AE25"/>
  <c r="AE26"/>
  <c r="AE27"/>
  <c r="AE28"/>
  <c r="AE29"/>
  <c r="AE30"/>
  <c r="AE15"/>
  <c r="W17"/>
  <c r="W18"/>
  <c r="W19"/>
  <c r="W20"/>
  <c r="W21"/>
  <c r="W22"/>
  <c r="W23"/>
  <c r="W24"/>
  <c r="W25"/>
  <c r="W26"/>
  <c r="W27"/>
  <c r="W28"/>
  <c r="W29"/>
  <c r="W30"/>
  <c r="W31"/>
  <c r="W16"/>
  <c r="R13"/>
  <c r="Q12"/>
  <c r="P12"/>
  <c r="O12"/>
  <c r="N12"/>
  <c r="F19"/>
  <c r="E19"/>
  <c r="R11"/>
  <c r="Q10"/>
  <c r="P10"/>
  <c r="O10"/>
  <c r="N10"/>
  <c r="B3"/>
  <c r="B16"/>
  <c r="C16" s="1"/>
  <c r="B13"/>
  <c r="C13" s="1"/>
  <c r="B10"/>
  <c r="C10" s="1"/>
  <c r="B6"/>
  <c r="C6" s="1"/>
  <c r="B17"/>
  <c r="C17" s="1"/>
  <c r="B9"/>
  <c r="C9" s="1"/>
  <c r="J22"/>
  <c r="L17"/>
  <c r="Q9"/>
  <c r="P9"/>
  <c r="O9"/>
  <c r="N9"/>
  <c r="C3"/>
  <c r="B7"/>
  <c r="C7" s="1"/>
  <c r="B8"/>
  <c r="C8" s="1"/>
  <c r="B11"/>
  <c r="C11" s="1"/>
  <c r="B12"/>
  <c r="C12" s="1"/>
  <c r="B15"/>
  <c r="C15" s="1"/>
  <c r="B5"/>
  <c r="C5" s="1"/>
  <c r="B4"/>
  <c r="C4" s="1"/>
  <c r="AA31" i="2" l="1"/>
  <c r="AA25"/>
  <c r="AA27"/>
  <c r="AA21"/>
  <c r="AA19"/>
  <c r="AA26"/>
  <c r="AA16"/>
  <c r="AA17"/>
  <c r="R9"/>
  <c r="D8"/>
  <c r="D16"/>
  <c r="D12"/>
  <c r="D6"/>
  <c r="D10"/>
  <c r="D4"/>
  <c r="E4" s="1"/>
  <c r="D13"/>
  <c r="P10"/>
  <c r="D7"/>
  <c r="D11"/>
  <c r="D15"/>
  <c r="D14"/>
  <c r="D5"/>
  <c r="D9"/>
  <c r="AG31"/>
  <c r="S11" i="1"/>
  <c r="R9"/>
  <c r="D4"/>
  <c r="B14"/>
  <c r="C14" s="1"/>
  <c r="D14" s="1"/>
  <c r="D5"/>
  <c r="D6"/>
  <c r="D9"/>
  <c r="D17"/>
  <c r="D16"/>
  <c r="D13"/>
  <c r="D12"/>
  <c r="D8"/>
  <c r="D11"/>
  <c r="D10"/>
  <c r="D7"/>
  <c r="R13" i="2" l="1"/>
  <c r="R11"/>
  <c r="D15" i="1"/>
</calcChain>
</file>

<file path=xl/sharedStrings.xml><?xml version="1.0" encoding="utf-8"?>
<sst xmlns="http://schemas.openxmlformats.org/spreadsheetml/2006/main" count="51" uniqueCount="26">
  <si>
    <t>Показатели</t>
  </si>
  <si>
    <t>Год</t>
  </si>
  <si>
    <t>№ квартала, i</t>
  </si>
  <si>
    <t xml:space="preserve"> </t>
  </si>
  <si>
    <t>-</t>
  </si>
  <si>
    <t>Итого за i-й квартал (за все годы)</t>
  </si>
  <si>
    <t>Средняя оценка сезонной</t>
  </si>
  <si>
    <t>Скоректированая сезонная</t>
  </si>
  <si>
    <r>
      <t>компонента, S</t>
    </r>
    <r>
      <rPr>
        <vertAlign val="subscript"/>
        <sz val="12"/>
        <color theme="1"/>
        <rFont val="Times New Roman"/>
        <family val="1"/>
        <charset val="204"/>
      </rPr>
      <t>i</t>
    </r>
  </si>
  <si>
    <t>t</t>
  </si>
  <si>
    <r>
      <t>Y</t>
    </r>
    <r>
      <rPr>
        <vertAlign val="subscript"/>
        <sz val="12"/>
        <color theme="1"/>
        <rFont val="Times New Roman"/>
        <family val="1"/>
        <charset val="204"/>
      </rPr>
      <t>t</t>
    </r>
  </si>
  <si>
    <r>
      <t>S</t>
    </r>
    <r>
      <rPr>
        <vertAlign val="subscript"/>
        <sz val="12"/>
        <color theme="1"/>
        <rFont val="Times New Roman"/>
        <family val="1"/>
        <charset val="204"/>
      </rPr>
      <t>i</t>
    </r>
  </si>
  <si>
    <t>t+e =y-s</t>
  </si>
  <si>
    <t>t+s</t>
  </si>
  <si>
    <t>T+E</t>
  </si>
  <si>
    <r>
      <t>t</t>
    </r>
    <r>
      <rPr>
        <vertAlign val="superscript"/>
        <sz val="12"/>
        <color theme="1"/>
        <rFont val="Times New Roman"/>
        <family val="1"/>
        <charset val="204"/>
      </rPr>
      <t>2</t>
    </r>
  </si>
  <si>
    <t>t*(T+E)</t>
  </si>
  <si>
    <r>
      <t>E=y</t>
    </r>
    <r>
      <rPr>
        <vertAlign val="subscript"/>
        <sz val="12"/>
        <color theme="1"/>
        <rFont val="Times New Roman"/>
        <family val="1"/>
        <charset val="204"/>
      </rPr>
      <t>t</t>
    </r>
    <r>
      <rPr>
        <sz val="12"/>
        <color theme="1"/>
        <rFont val="Times New Roman"/>
        <family val="1"/>
        <charset val="204"/>
      </rPr>
      <t>-(T+S)</t>
    </r>
  </si>
  <si>
    <t>е2</t>
  </si>
  <si>
    <t>компоненты для i-го квартала, Δsi</t>
  </si>
  <si>
    <t>t*e =y/s</t>
  </si>
  <si>
    <t>T*E</t>
  </si>
  <si>
    <t>t*(T*E)</t>
  </si>
  <si>
    <t>t nature</t>
  </si>
  <si>
    <t>t*s</t>
  </si>
  <si>
    <t>E=yt/(T*S)</t>
  </si>
</sst>
</file>

<file path=xl/styles.xml><?xml version="1.0" encoding="utf-8"?>
<styleSheet xmlns="http://schemas.openxmlformats.org/spreadsheetml/2006/main">
  <numFmts count="7">
    <numFmt numFmtId="164" formatCode="0.000"/>
    <numFmt numFmtId="165" formatCode="0.0000"/>
    <numFmt numFmtId="166" formatCode="0.000000"/>
    <numFmt numFmtId="167" formatCode="0.00000"/>
    <numFmt numFmtId="168" formatCode="0.0"/>
    <numFmt numFmtId="169" formatCode="0.00000000"/>
    <numFmt numFmtId="170" formatCode="0.0000000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vertAlign val="superscript"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/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right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right" wrapText="1"/>
    </xf>
    <xf numFmtId="0" fontId="1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right" wrapText="1"/>
    </xf>
    <xf numFmtId="0" fontId="3" fillId="0" borderId="9" xfId="0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164" fontId="1" fillId="0" borderId="5" xfId="0" applyNumberFormat="1" applyFont="1" applyBorder="1" applyAlignment="1">
      <alignment horizontal="right" wrapText="1"/>
    </xf>
    <xf numFmtId="164" fontId="0" fillId="0" borderId="0" xfId="0" applyNumberFormat="1"/>
    <xf numFmtId="167" fontId="0" fillId="0" borderId="8" xfId="0" applyNumberFormat="1" applyBorder="1"/>
    <xf numFmtId="165" fontId="0" fillId="0" borderId="8" xfId="0" applyNumberFormat="1" applyBorder="1"/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8" fontId="0" fillId="0" borderId="0" xfId="0" applyNumberFormat="1"/>
    <xf numFmtId="165" fontId="0" fillId="0" borderId="0" xfId="0" applyNumberFormat="1" applyFill="1" applyBorder="1"/>
    <xf numFmtId="0" fontId="1" fillId="0" borderId="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1" fillId="0" borderId="8" xfId="0" applyFont="1" applyFill="1" applyBorder="1" applyAlignment="1">
      <alignment horizontal="center" wrapText="1"/>
    </xf>
    <xf numFmtId="167" fontId="1" fillId="0" borderId="5" xfId="0" applyNumberFormat="1" applyFont="1" applyBorder="1" applyAlignment="1">
      <alignment horizontal="right" wrapText="1"/>
    </xf>
    <xf numFmtId="1" fontId="0" fillId="0" borderId="0" xfId="0" applyNumberFormat="1"/>
    <xf numFmtId="0" fontId="1" fillId="0" borderId="0" xfId="0" applyFont="1" applyBorder="1" applyAlignment="1">
      <alignment horizontal="right" wrapText="1"/>
    </xf>
    <xf numFmtId="0" fontId="3" fillId="0" borderId="14" xfId="0" applyFont="1" applyBorder="1" applyAlignment="1">
      <alignment horizontal="right" wrapText="1"/>
    </xf>
    <xf numFmtId="0" fontId="3" fillId="0" borderId="1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166" fontId="1" fillId="0" borderId="9" xfId="0" applyNumberFormat="1" applyFont="1" applyBorder="1" applyAlignment="1">
      <alignment horizontal="center" vertical="top" wrapText="1"/>
    </xf>
    <xf numFmtId="167" fontId="1" fillId="0" borderId="5" xfId="0" applyNumberFormat="1" applyFont="1" applyBorder="1" applyAlignment="1">
      <alignment horizontal="center" vertical="top" wrapText="1"/>
    </xf>
    <xf numFmtId="164" fontId="0" fillId="0" borderId="8" xfId="0" applyNumberFormat="1" applyBorder="1"/>
    <xf numFmtId="165" fontId="0" fillId="0" borderId="0" xfId="0" applyNumberFormat="1"/>
    <xf numFmtId="170" fontId="0" fillId="0" borderId="0" xfId="0" applyNumberFormat="1"/>
    <xf numFmtId="0" fontId="6" fillId="0" borderId="1" xfId="0" applyFont="1" applyBorder="1" applyAlignment="1">
      <alignment horizontal="right" wrapText="1"/>
    </xf>
    <xf numFmtId="0" fontId="6" fillId="0" borderId="7" xfId="0" applyFont="1" applyBorder="1" applyAlignment="1">
      <alignment horizontal="right" wrapText="1"/>
    </xf>
    <xf numFmtId="0" fontId="1" fillId="0" borderId="3" xfId="0" applyFont="1" applyFill="1" applyBorder="1" applyAlignment="1">
      <alignment horizontal="center" wrapText="1"/>
    </xf>
    <xf numFmtId="164" fontId="6" fillId="0" borderId="13" xfId="0" applyNumberFormat="1" applyFont="1" applyBorder="1" applyAlignment="1">
      <alignment horizontal="right" wrapText="1"/>
    </xf>
    <xf numFmtId="164" fontId="6" fillId="0" borderId="0" xfId="0" applyNumberFormat="1" applyFont="1" applyBorder="1" applyAlignment="1">
      <alignment horizontal="right" wrapText="1"/>
    </xf>
    <xf numFmtId="165" fontId="7" fillId="0" borderId="1" xfId="0" applyNumberFormat="1" applyFont="1" applyBorder="1" applyAlignment="1">
      <alignment horizontal="right" vertical="top" wrapText="1"/>
    </xf>
    <xf numFmtId="165" fontId="7" fillId="0" borderId="7" xfId="0" applyNumberFormat="1" applyFont="1" applyBorder="1" applyAlignment="1">
      <alignment horizontal="right" vertical="top" wrapText="1"/>
    </xf>
    <xf numFmtId="165" fontId="6" fillId="0" borderId="7" xfId="0" applyNumberFormat="1" applyFont="1" applyBorder="1" applyAlignment="1">
      <alignment horizontal="right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168" fontId="1" fillId="0" borderId="13" xfId="0" applyNumberFormat="1" applyFont="1" applyBorder="1" applyAlignment="1">
      <alignment horizontal="right" wrapText="1"/>
    </xf>
    <xf numFmtId="168" fontId="1" fillId="0" borderId="7" xfId="0" applyNumberFormat="1" applyFont="1" applyBorder="1" applyAlignment="1">
      <alignment horizontal="right" wrapText="1"/>
    </xf>
    <xf numFmtId="167" fontId="1" fillId="0" borderId="13" xfId="0" applyNumberFormat="1" applyFont="1" applyBorder="1" applyAlignment="1">
      <alignment horizontal="right" wrapText="1"/>
    </xf>
    <xf numFmtId="167" fontId="1" fillId="0" borderId="7" xfId="0" applyNumberFormat="1" applyFont="1" applyBorder="1" applyAlignment="1">
      <alignment horizontal="right" wrapText="1"/>
    </xf>
    <xf numFmtId="166" fontId="1" fillId="0" borderId="13" xfId="0" applyNumberFormat="1" applyFont="1" applyBorder="1" applyAlignment="1">
      <alignment horizontal="right" wrapText="1"/>
    </xf>
    <xf numFmtId="166" fontId="1" fillId="0" borderId="7" xfId="0" applyNumberFormat="1" applyFont="1" applyBorder="1" applyAlignment="1">
      <alignment horizontal="right" wrapText="1"/>
    </xf>
    <xf numFmtId="165" fontId="1" fillId="0" borderId="13" xfId="0" applyNumberFormat="1" applyFont="1" applyBorder="1" applyAlignment="1">
      <alignment horizontal="right" wrapText="1"/>
    </xf>
    <xf numFmtId="165" fontId="1" fillId="0" borderId="7" xfId="0" applyNumberFormat="1" applyFont="1" applyBorder="1" applyAlignment="1">
      <alignment horizontal="right" wrapText="1"/>
    </xf>
    <xf numFmtId="169" fontId="1" fillId="0" borderId="13" xfId="0" applyNumberFormat="1" applyFont="1" applyBorder="1" applyAlignment="1">
      <alignment horizontal="right" wrapText="1"/>
    </xf>
    <xf numFmtId="169" fontId="1" fillId="0" borderId="7" xfId="0" applyNumberFormat="1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43"/>
  <sheetViews>
    <sheetView tabSelected="1" zoomScale="90" zoomScaleNormal="90" workbookViewId="0">
      <selection activeCell="J12" sqref="J12"/>
    </sheetView>
  </sheetViews>
  <sheetFormatPr defaultRowHeight="15"/>
  <cols>
    <col min="6" max="6" width="13.85546875" bestFit="1" customWidth="1"/>
    <col min="7" max="7" width="5.85546875" customWidth="1"/>
    <col min="8" max="8" width="11.5703125" bestFit="1" customWidth="1"/>
    <col min="11" max="11" width="5" customWidth="1"/>
    <col min="12" max="12" width="18.140625" customWidth="1"/>
    <col min="14" max="14" width="15.140625" bestFit="1" customWidth="1"/>
    <col min="15" max="15" width="10.42578125" bestFit="1" customWidth="1"/>
    <col min="16" max="16" width="10.7109375" bestFit="1" customWidth="1"/>
    <col min="17" max="17" width="9.5703125" bestFit="1" customWidth="1"/>
    <col min="23" max="23" width="9.28515625" bestFit="1" customWidth="1"/>
    <col min="26" max="26" width="15.28515625" customWidth="1"/>
    <col min="31" max="31" width="13.140625" bestFit="1" customWidth="1"/>
    <col min="33" max="33" width="14.28515625" bestFit="1" customWidth="1"/>
  </cols>
  <sheetData>
    <row r="1" spans="1:33" ht="15.75" thickBot="1"/>
    <row r="2" spans="1:33" ht="16.5" thickTop="1" thickBot="1">
      <c r="A2" s="26">
        <v>68.2</v>
      </c>
      <c r="B2" s="6"/>
      <c r="C2" s="6"/>
      <c r="D2" s="6"/>
      <c r="E2" s="6"/>
      <c r="F2" s="25"/>
      <c r="G2" s="2"/>
      <c r="H2" s="2"/>
      <c r="I2" s="2"/>
      <c r="J2" s="2"/>
      <c r="K2" s="2"/>
      <c r="S2" s="2"/>
      <c r="T2" s="2"/>
      <c r="U2" s="2"/>
    </row>
    <row r="3" spans="1:33" ht="32.25" customHeight="1" thickBot="1">
      <c r="A3" s="27">
        <v>70.400000000000006</v>
      </c>
      <c r="B3" s="6">
        <f>SUM(A2,A3,A4,A5)</f>
        <v>284.60000000000002</v>
      </c>
      <c r="C3" s="6">
        <f>B3/4</f>
        <v>71.150000000000006</v>
      </c>
      <c r="D3" s="6"/>
      <c r="E3" s="6"/>
      <c r="F3" s="25"/>
      <c r="G3" s="2"/>
      <c r="H3" s="2"/>
      <c r="I3" s="2"/>
      <c r="J3" s="2"/>
      <c r="K3" s="3"/>
      <c r="L3" s="7" t="s">
        <v>0</v>
      </c>
      <c r="M3" s="8" t="s">
        <v>1</v>
      </c>
      <c r="N3" s="58" t="s">
        <v>2</v>
      </c>
      <c r="O3" s="59"/>
      <c r="P3" s="59"/>
      <c r="Q3" s="60"/>
      <c r="S3" s="2"/>
      <c r="T3" s="2"/>
      <c r="U3" s="2"/>
    </row>
    <row r="4" spans="1:33" ht="16.5" thickBot="1">
      <c r="A4" s="27">
        <v>72.8</v>
      </c>
      <c r="B4" s="6">
        <f>SUM(A3,A4,A5,A6)</f>
        <v>288.79999999999995</v>
      </c>
      <c r="C4" s="6">
        <f t="shared" ref="C4:C17" si="0">B4/4</f>
        <v>72.199999999999989</v>
      </c>
      <c r="D4" s="6">
        <f>(C3+C4)/2</f>
        <v>71.674999999999997</v>
      </c>
      <c r="E4" s="47">
        <f>A4-D4</f>
        <v>1.125</v>
      </c>
      <c r="F4" s="25"/>
      <c r="G4" s="2"/>
      <c r="H4" s="2"/>
      <c r="I4" s="2"/>
      <c r="J4" s="2"/>
      <c r="K4" s="3"/>
      <c r="L4" s="61"/>
      <c r="M4" s="9" t="s">
        <v>3</v>
      </c>
      <c r="N4" s="11">
        <v>1</v>
      </c>
      <c r="O4" s="11">
        <v>2</v>
      </c>
      <c r="P4" s="11">
        <v>3</v>
      </c>
      <c r="Q4" s="11">
        <v>4</v>
      </c>
      <c r="S4" s="2"/>
      <c r="T4" s="17"/>
      <c r="U4" s="2"/>
    </row>
    <row r="5" spans="1:33" ht="16.5" thickBot="1">
      <c r="A5" s="27">
        <v>73.2</v>
      </c>
      <c r="B5" s="6">
        <f>SUM(A4,A5,A6,A7)</f>
        <v>293.2</v>
      </c>
      <c r="C5" s="6">
        <f t="shared" si="0"/>
        <v>73.3</v>
      </c>
      <c r="D5" s="6">
        <f t="shared" ref="D5:D17" si="1">(C4+C5)/2</f>
        <v>72.75</v>
      </c>
      <c r="E5" s="6">
        <f t="shared" ref="E5:E15" si="2">A5-D5</f>
        <v>0.45000000000000284</v>
      </c>
      <c r="F5" s="25"/>
      <c r="G5" s="2"/>
      <c r="H5" s="2"/>
      <c r="I5" s="2"/>
      <c r="J5" s="2"/>
      <c r="K5" s="3"/>
      <c r="L5" s="62"/>
      <c r="M5" s="10">
        <v>1</v>
      </c>
      <c r="N5" s="11" t="s">
        <v>4</v>
      </c>
      <c r="O5" s="11" t="s">
        <v>4</v>
      </c>
      <c r="P5" s="11">
        <v>1.125</v>
      </c>
      <c r="Q5" s="11">
        <v>0.45</v>
      </c>
      <c r="S5" s="2"/>
      <c r="T5" s="17"/>
      <c r="U5" s="2"/>
    </row>
    <row r="6" spans="1:33" ht="16.5" thickBot="1">
      <c r="A6" s="27">
        <v>72.400000000000006</v>
      </c>
      <c r="B6" s="6">
        <f>SUM(A5,A6,A7,A8)</f>
        <v>297.5</v>
      </c>
      <c r="C6" s="6">
        <f t="shared" si="0"/>
        <v>74.375</v>
      </c>
      <c r="D6" s="6">
        <f t="shared" si="1"/>
        <v>73.837500000000006</v>
      </c>
      <c r="E6" s="6">
        <f t="shared" si="2"/>
        <v>-1.4375</v>
      </c>
      <c r="F6" s="25"/>
      <c r="G6" s="2"/>
      <c r="H6" s="2"/>
      <c r="I6" s="2"/>
      <c r="J6" s="2"/>
      <c r="K6" s="3"/>
      <c r="L6" s="62"/>
      <c r="M6" s="10">
        <v>2</v>
      </c>
      <c r="N6" s="11">
        <v>-1.4375</v>
      </c>
      <c r="O6" s="11">
        <v>-0.45</v>
      </c>
      <c r="P6" s="11">
        <v>0.1</v>
      </c>
      <c r="Q6" s="11">
        <v>1.8625</v>
      </c>
      <c r="S6" s="2"/>
      <c r="T6" s="17"/>
      <c r="U6" s="2"/>
    </row>
    <row r="7" spans="1:33" ht="16.5" thickBot="1">
      <c r="A7" s="27">
        <v>74.8</v>
      </c>
      <c r="B7" s="6">
        <f t="shared" ref="B7:B17" si="3">SUM(A6,A7,A8,A9)</f>
        <v>304.5</v>
      </c>
      <c r="C7" s="6">
        <f t="shared" si="0"/>
        <v>76.125</v>
      </c>
      <c r="D7" s="6">
        <f t="shared" si="1"/>
        <v>75.25</v>
      </c>
      <c r="E7" s="6">
        <f t="shared" si="2"/>
        <v>-0.45000000000000284</v>
      </c>
      <c r="F7" s="25"/>
      <c r="G7" s="2"/>
      <c r="H7" s="2"/>
      <c r="I7" s="2"/>
      <c r="J7" s="2"/>
      <c r="K7" s="3"/>
      <c r="L7" s="62"/>
      <c r="M7" s="10">
        <v>3</v>
      </c>
      <c r="N7" s="11">
        <v>-0.23749999999999999</v>
      </c>
      <c r="O7" s="11">
        <v>-2.4750000000000001</v>
      </c>
      <c r="P7" s="11">
        <v>2.6124999999999998</v>
      </c>
      <c r="Q7" s="11">
        <v>3.2</v>
      </c>
      <c r="S7" s="2"/>
      <c r="T7" s="17"/>
      <c r="U7" s="2"/>
    </row>
    <row r="8" spans="1:33" ht="16.5" thickBot="1">
      <c r="A8" s="27">
        <v>77.099999999999994</v>
      </c>
      <c r="B8" s="6">
        <f t="shared" si="3"/>
        <v>311.5</v>
      </c>
      <c r="C8" s="6">
        <f t="shared" si="0"/>
        <v>77.875</v>
      </c>
      <c r="D8" s="6">
        <f t="shared" si="1"/>
        <v>77</v>
      </c>
      <c r="E8" s="6">
        <f t="shared" si="2"/>
        <v>9.9999999999994316E-2</v>
      </c>
      <c r="F8" s="25"/>
      <c r="G8" s="2"/>
      <c r="H8" s="2"/>
      <c r="I8" s="2"/>
      <c r="J8" s="2"/>
      <c r="K8" s="3"/>
      <c r="L8" s="63"/>
      <c r="M8" s="11">
        <v>4</v>
      </c>
      <c r="N8" s="11">
        <v>-3.7250000000000001</v>
      </c>
      <c r="O8" s="11">
        <v>-1.075</v>
      </c>
      <c r="P8" s="11" t="s">
        <v>4</v>
      </c>
      <c r="Q8" s="11" t="s">
        <v>4</v>
      </c>
      <c r="S8" s="2"/>
      <c r="T8" s="17"/>
      <c r="U8" s="2"/>
    </row>
    <row r="9" spans="1:33" ht="48" thickBot="1">
      <c r="A9" s="27">
        <v>80.2</v>
      </c>
      <c r="B9" s="6">
        <f t="shared" si="3"/>
        <v>315.20000000000005</v>
      </c>
      <c r="C9" s="6">
        <f t="shared" si="0"/>
        <v>78.800000000000011</v>
      </c>
      <c r="D9" s="6">
        <f t="shared" si="1"/>
        <v>78.337500000000006</v>
      </c>
      <c r="E9" s="6">
        <f t="shared" si="2"/>
        <v>1.8624999999999972</v>
      </c>
      <c r="F9" s="25"/>
      <c r="G9" s="2"/>
      <c r="H9" s="2"/>
      <c r="I9" s="2"/>
      <c r="J9" s="2"/>
      <c r="K9" s="3"/>
      <c r="L9" s="15" t="s">
        <v>5</v>
      </c>
      <c r="M9" s="11"/>
      <c r="N9" s="12">
        <f>SUM(N6,N7,N8)</f>
        <v>-5.4</v>
      </c>
      <c r="O9" s="22">
        <f>+SUM(O6,O7,O8)</f>
        <v>-4</v>
      </c>
      <c r="P9" s="22">
        <f>SUM(P5,P6,P7)</f>
        <v>3.8374999999999999</v>
      </c>
      <c r="Q9" s="22">
        <f>SUM(Q6,Q5,Q7)</f>
        <v>5.5125000000000002</v>
      </c>
      <c r="R9">
        <f>SUM(N9,O9,P9,Q9)</f>
        <v>-4.9999999999999822E-2</v>
      </c>
      <c r="S9" s="2"/>
      <c r="T9" s="17"/>
      <c r="U9" s="2"/>
    </row>
    <row r="10" spans="1:33" ht="32.25" thickBot="1">
      <c r="A10" s="27">
        <v>79.400000000000006</v>
      </c>
      <c r="B10" s="6">
        <f t="shared" si="3"/>
        <v>321.90000000000003</v>
      </c>
      <c r="C10" s="6">
        <f t="shared" si="0"/>
        <v>80.475000000000009</v>
      </c>
      <c r="D10" s="6">
        <f t="shared" si="1"/>
        <v>79.637500000000017</v>
      </c>
      <c r="E10" s="6">
        <f t="shared" si="2"/>
        <v>-0.23750000000001137</v>
      </c>
      <c r="F10" s="25"/>
      <c r="G10" s="2"/>
      <c r="H10" s="2"/>
      <c r="I10" s="2"/>
      <c r="J10" s="2"/>
      <c r="K10" s="3"/>
      <c r="L10" s="14" t="s">
        <v>6</v>
      </c>
      <c r="M10" s="61"/>
      <c r="N10" s="64">
        <f>(N6+N7+N8)/3</f>
        <v>-1.8</v>
      </c>
      <c r="O10" s="66">
        <f>(O6+O7+O8)/3</f>
        <v>-1.3333333333333333</v>
      </c>
      <c r="P10" s="68">
        <f>(P5+P6+P7)/3</f>
        <v>1.2791666666666666</v>
      </c>
      <c r="Q10" s="70">
        <f>(Q5+Q6+Q7)/3</f>
        <v>1.8375000000000001</v>
      </c>
      <c r="S10" s="2"/>
      <c r="T10" s="17"/>
      <c r="U10" s="2"/>
    </row>
    <row r="11" spans="1:33" ht="32.25" thickBot="1">
      <c r="A11" s="27">
        <v>78.5</v>
      </c>
      <c r="B11" s="6">
        <f t="shared" si="3"/>
        <v>325.89999999999998</v>
      </c>
      <c r="C11" s="6">
        <f t="shared" si="0"/>
        <v>81.474999999999994</v>
      </c>
      <c r="D11" s="6">
        <f t="shared" si="1"/>
        <v>80.974999999999994</v>
      </c>
      <c r="E11" s="6">
        <f t="shared" si="2"/>
        <v>-2.4749999999999943</v>
      </c>
      <c r="F11" s="25"/>
      <c r="G11" s="2"/>
      <c r="H11" s="2"/>
      <c r="I11" s="2"/>
      <c r="J11" s="2"/>
      <c r="K11" s="3"/>
      <c r="L11" s="15" t="s">
        <v>19</v>
      </c>
      <c r="M11" s="63"/>
      <c r="N11" s="65"/>
      <c r="O11" s="67"/>
      <c r="P11" s="69"/>
      <c r="Q11" s="71"/>
      <c r="R11" s="28">
        <f>SUM(N10,O10,P10,Q10)</f>
        <v>-1.6666666666666607E-2</v>
      </c>
      <c r="S11" s="2">
        <f>R11/4</f>
        <v>-4.1666666666666519E-3</v>
      </c>
      <c r="T11" s="17"/>
      <c r="U11" s="2"/>
    </row>
    <row r="12" spans="1:33" ht="32.25" thickBot="1">
      <c r="A12" s="27">
        <v>83.8</v>
      </c>
      <c r="B12" s="6">
        <f t="shared" si="3"/>
        <v>323.60000000000002</v>
      </c>
      <c r="C12" s="6">
        <f t="shared" si="0"/>
        <v>80.900000000000006</v>
      </c>
      <c r="D12" s="6">
        <f t="shared" si="1"/>
        <v>81.1875</v>
      </c>
      <c r="E12" s="6">
        <f t="shared" si="2"/>
        <v>2.6124999999999972</v>
      </c>
      <c r="F12" s="25"/>
      <c r="G12" s="2"/>
      <c r="H12" s="2"/>
      <c r="I12" s="2"/>
      <c r="J12" s="2"/>
      <c r="K12" s="3"/>
      <c r="L12" s="14" t="s">
        <v>7</v>
      </c>
      <c r="M12" s="61"/>
      <c r="N12" s="72">
        <f>N10-F19</f>
        <v>-1.79583425</v>
      </c>
      <c r="O12" s="66">
        <f>O10-F19</f>
        <v>-1.3291675833333332</v>
      </c>
      <c r="P12" s="68">
        <f>P10-F19</f>
        <v>1.2833324166666666</v>
      </c>
      <c r="Q12" s="68">
        <f>Q10-F19</f>
        <v>1.8416657500000002</v>
      </c>
      <c r="S12" s="2"/>
      <c r="T12" s="17"/>
      <c r="U12" s="2"/>
      <c r="Y12">
        <f>81.157+ 1.023158</f>
        <v>82.180157999999992</v>
      </c>
      <c r="Z12">
        <f>80.4754+ 0.98333</f>
        <v>81.458729999999989</v>
      </c>
      <c r="AC12">
        <f>67.525 + 0.6816 *20</f>
        <v>81.157000000000011</v>
      </c>
    </row>
    <row r="13" spans="1:33" ht="19.5" thickBot="1">
      <c r="A13" s="27">
        <v>84.2</v>
      </c>
      <c r="B13" s="6">
        <f t="shared" si="3"/>
        <v>324.39999999999998</v>
      </c>
      <c r="C13" s="6">
        <f t="shared" si="0"/>
        <v>81.099999999999994</v>
      </c>
      <c r="D13" s="6">
        <f t="shared" si="1"/>
        <v>81</v>
      </c>
      <c r="E13" s="6">
        <f t="shared" si="2"/>
        <v>3.2000000000000028</v>
      </c>
      <c r="F13" s="25"/>
      <c r="G13" s="2"/>
      <c r="H13" s="2"/>
      <c r="I13" s="2"/>
      <c r="J13" s="2"/>
      <c r="K13" s="3"/>
      <c r="L13" s="4" t="s">
        <v>8</v>
      </c>
      <c r="M13" s="63"/>
      <c r="N13" s="73"/>
      <c r="O13" s="67"/>
      <c r="P13" s="69"/>
      <c r="Q13" s="69"/>
      <c r="R13" s="23">
        <f>SUM(N12,O12,P12,Q12)</f>
        <v>-3.6666666662910075E-6</v>
      </c>
      <c r="S13" s="2"/>
      <c r="T13" s="17"/>
      <c r="U13" s="2"/>
    </row>
    <row r="14" spans="1:33" ht="21" thickBot="1">
      <c r="A14" s="27">
        <v>77.099999999999994</v>
      </c>
      <c r="B14" s="6">
        <f t="shared" si="3"/>
        <v>322.20000000000005</v>
      </c>
      <c r="C14" s="6">
        <f t="shared" si="0"/>
        <v>80.550000000000011</v>
      </c>
      <c r="D14" s="6">
        <f t="shared" si="1"/>
        <v>80.825000000000003</v>
      </c>
      <c r="E14" s="6">
        <f t="shared" si="2"/>
        <v>-3.7250000000000085</v>
      </c>
      <c r="F14" s="25"/>
      <c r="G14" s="2"/>
      <c r="H14" s="2"/>
      <c r="I14" s="2"/>
      <c r="J14" s="2"/>
      <c r="K14" s="3"/>
      <c r="S14" s="2"/>
      <c r="T14" s="30" t="s">
        <v>9</v>
      </c>
      <c r="U14" s="31" t="s">
        <v>10</v>
      </c>
      <c r="V14" s="34" t="s">
        <v>11</v>
      </c>
      <c r="W14" s="37" t="s">
        <v>12</v>
      </c>
      <c r="X14" s="37" t="s">
        <v>9</v>
      </c>
      <c r="Y14" s="37" t="s">
        <v>13</v>
      </c>
      <c r="Z14" s="30" t="s">
        <v>17</v>
      </c>
      <c r="AA14" s="33" t="s">
        <v>18</v>
      </c>
      <c r="AD14" s="30" t="s">
        <v>9</v>
      </c>
      <c r="AE14" s="31" t="s">
        <v>14</v>
      </c>
      <c r="AF14" s="31" t="s">
        <v>15</v>
      </c>
      <c r="AG14" s="31" t="s">
        <v>16</v>
      </c>
    </row>
    <row r="15" spans="1:33" ht="16.5" thickBot="1">
      <c r="A15" s="27">
        <v>79.3</v>
      </c>
      <c r="B15" s="6">
        <f t="shared" si="3"/>
        <v>320.79999999999995</v>
      </c>
      <c r="C15" s="6">
        <f t="shared" si="0"/>
        <v>80.199999999999989</v>
      </c>
      <c r="D15" s="6">
        <f t="shared" si="1"/>
        <v>80.375</v>
      </c>
      <c r="E15" s="6">
        <f t="shared" si="2"/>
        <v>-1.0750000000000028</v>
      </c>
      <c r="F15" s="25"/>
      <c r="G15" s="2"/>
      <c r="H15" s="2"/>
      <c r="I15" s="2"/>
      <c r="J15" s="2"/>
      <c r="K15" s="3"/>
      <c r="S15" s="2"/>
      <c r="T15" s="5">
        <v>1</v>
      </c>
      <c r="U15" s="32">
        <v>2</v>
      </c>
      <c r="V15" s="35">
        <v>3</v>
      </c>
      <c r="W15" s="37">
        <v>4</v>
      </c>
      <c r="X15" s="37">
        <v>5</v>
      </c>
      <c r="Y15" s="37">
        <v>6</v>
      </c>
      <c r="Z15" s="5">
        <v>7</v>
      </c>
      <c r="AA15" s="33">
        <v>8</v>
      </c>
      <c r="AD15" s="16">
        <v>1</v>
      </c>
      <c r="AE15" s="38">
        <f>U16-V16</f>
        <v>69.995834250000001</v>
      </c>
      <c r="AF15" s="12">
        <v>1</v>
      </c>
      <c r="AG15" s="38">
        <f>AD15*(AE15)</f>
        <v>69.995834250000001</v>
      </c>
    </row>
    <row r="16" spans="1:33" ht="16.5" thickBot="1">
      <c r="A16" s="27">
        <v>81.599999999999994</v>
      </c>
      <c r="B16" s="6">
        <f t="shared" si="3"/>
        <v>243.7</v>
      </c>
      <c r="C16" s="6">
        <f t="shared" si="0"/>
        <v>60.924999999999997</v>
      </c>
      <c r="D16" s="6">
        <f t="shared" si="1"/>
        <v>70.5625</v>
      </c>
      <c r="E16" s="6"/>
      <c r="F16" s="25"/>
      <c r="G16" s="2"/>
      <c r="H16" s="2"/>
      <c r="I16" s="2"/>
      <c r="J16" s="2"/>
      <c r="K16" s="3"/>
      <c r="S16" s="2"/>
      <c r="T16" s="5">
        <v>1</v>
      </c>
      <c r="U16" s="12">
        <v>68.2</v>
      </c>
      <c r="V16" s="36">
        <v>-1.79583425</v>
      </c>
      <c r="W16" s="24">
        <f>U16-V16</f>
        <v>69.995834250000001</v>
      </c>
      <c r="X16" s="6">
        <f>70.3875+0.80588235*T16</f>
        <v>71.193382350000007</v>
      </c>
      <c r="Y16" s="6">
        <f>X16+V16</f>
        <v>69.397548100000009</v>
      </c>
      <c r="Z16">
        <f>U16-Y16</f>
        <v>-1.1975481000000059</v>
      </c>
      <c r="AA16">
        <f>Z16^2</f>
        <v>1.434121451813624</v>
      </c>
      <c r="AD16" s="16">
        <v>2</v>
      </c>
      <c r="AE16" s="38">
        <f t="shared" ref="AE16:AE30" si="4">U17-V17</f>
        <v>71.729170000000011</v>
      </c>
      <c r="AF16" s="12">
        <v>4</v>
      </c>
      <c r="AG16" s="38">
        <f t="shared" ref="AG16:AG30" si="5">AD16*(AE16)</f>
        <v>143.45834000000002</v>
      </c>
    </row>
    <row r="17" spans="1:33" ht="16.5" thickBot="1">
      <c r="A17" s="27">
        <v>82.8</v>
      </c>
      <c r="B17" s="6">
        <f t="shared" si="3"/>
        <v>162.59999999999997</v>
      </c>
      <c r="C17" s="6">
        <f t="shared" si="0"/>
        <v>40.649999999999991</v>
      </c>
      <c r="D17" s="6">
        <f t="shared" si="1"/>
        <v>50.787499999999994</v>
      </c>
      <c r="E17" s="6"/>
      <c r="F17" s="25"/>
      <c r="G17" s="2"/>
      <c r="H17" s="18">
        <v>-1.8333341999999999</v>
      </c>
      <c r="I17" s="19">
        <v>-1.3332999999999999</v>
      </c>
      <c r="J17" s="19">
        <v>1.2791699999999999</v>
      </c>
      <c r="K17" s="41">
        <v>1.8374999999999999</v>
      </c>
      <c r="L17">
        <f>SUM(H17,I17,J17,K17)</f>
        <v>-4.9964200000000014E-2</v>
      </c>
      <c r="S17" s="2"/>
      <c r="T17" s="5">
        <v>2</v>
      </c>
      <c r="U17" s="12">
        <v>70.400000000000006</v>
      </c>
      <c r="V17" s="36">
        <v>-1.32917</v>
      </c>
      <c r="W17" s="24">
        <f t="shared" ref="W17:W31" si="6">U17-V17</f>
        <v>71.729170000000011</v>
      </c>
      <c r="X17" s="6">
        <f t="shared" ref="X17:X31" si="7">70.3875+0.80588235*T17</f>
        <v>71.999264699999998</v>
      </c>
      <c r="Y17" s="6">
        <f t="shared" ref="Y17:Y31" si="8">X17+V17</f>
        <v>70.670094699999993</v>
      </c>
      <c r="Z17">
        <f t="shared" ref="Z17:Z31" si="9">U17-Y17</f>
        <v>-0.27009469999998714</v>
      </c>
      <c r="AA17">
        <f t="shared" ref="AA17:AA31" si="10">Z17^2</f>
        <v>7.2951146968083053E-2</v>
      </c>
      <c r="AD17" s="16">
        <v>3</v>
      </c>
      <c r="AE17" s="38">
        <f t="shared" si="4"/>
        <v>71.516667999999996</v>
      </c>
      <c r="AF17" s="12">
        <v>9</v>
      </c>
      <c r="AG17" s="38">
        <f t="shared" si="5"/>
        <v>214.550004</v>
      </c>
    </row>
    <row r="18" spans="1:33" ht="16.5" thickBot="1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S18" s="2"/>
      <c r="T18" s="5">
        <v>3</v>
      </c>
      <c r="U18" s="12">
        <v>72.8</v>
      </c>
      <c r="V18" s="36">
        <v>1.2833319999999999</v>
      </c>
      <c r="W18" s="24">
        <f t="shared" si="6"/>
        <v>71.516667999999996</v>
      </c>
      <c r="X18" s="6">
        <f t="shared" si="7"/>
        <v>72.805147050000002</v>
      </c>
      <c r="Y18" s="6">
        <f t="shared" si="8"/>
        <v>74.088479050000004</v>
      </c>
      <c r="Z18">
        <f t="shared" si="9"/>
        <v>-1.2884790500000065</v>
      </c>
      <c r="AA18">
        <f t="shared" si="10"/>
        <v>1.6601782622889192</v>
      </c>
      <c r="AD18" s="16">
        <v>4</v>
      </c>
      <c r="AE18" s="38">
        <f t="shared" si="4"/>
        <v>71.358333999999999</v>
      </c>
      <c r="AF18" s="12">
        <v>16</v>
      </c>
      <c r="AG18" s="38">
        <f t="shared" si="5"/>
        <v>285.433336</v>
      </c>
    </row>
    <row r="19" spans="1:33" ht="16.5" thickBot="1">
      <c r="A19" s="18">
        <v>-1.8</v>
      </c>
      <c r="B19" s="19">
        <v>-1.3333299999999999</v>
      </c>
      <c r="C19" s="19">
        <v>1.2791669999999999</v>
      </c>
      <c r="D19" s="19">
        <v>1.8374999999999999</v>
      </c>
      <c r="E19" s="2">
        <f>SUM(A19,B19,C19,D19)</f>
        <v>-1.6663000000000094E-2</v>
      </c>
      <c r="F19" s="29">
        <f>E19/4</f>
        <v>-4.1657500000000236E-3</v>
      </c>
      <c r="G19" s="2"/>
      <c r="H19" s="2">
        <v>-1.8333341000000001</v>
      </c>
      <c r="I19" s="2"/>
      <c r="J19" s="2"/>
      <c r="K19" s="2"/>
      <c r="L19" s="2"/>
      <c r="S19" s="2"/>
      <c r="T19" s="5">
        <v>4</v>
      </c>
      <c r="U19" s="12">
        <v>73.2</v>
      </c>
      <c r="V19" s="36">
        <v>1.841666</v>
      </c>
      <c r="W19" s="24">
        <f t="shared" si="6"/>
        <v>71.358333999999999</v>
      </c>
      <c r="X19" s="6">
        <f t="shared" si="7"/>
        <v>73.611029400000007</v>
      </c>
      <c r="Y19" s="6">
        <f t="shared" si="8"/>
        <v>75.45269540000001</v>
      </c>
      <c r="Z19">
        <f t="shared" si="9"/>
        <v>-2.2526954000000075</v>
      </c>
      <c r="AA19">
        <f t="shared" si="10"/>
        <v>5.0746365651811933</v>
      </c>
      <c r="AD19" s="16">
        <v>5</v>
      </c>
      <c r="AE19" s="38">
        <f t="shared" si="4"/>
        <v>74.195834250000004</v>
      </c>
      <c r="AF19" s="12">
        <v>25</v>
      </c>
      <c r="AG19" s="38">
        <f t="shared" si="5"/>
        <v>370.97917125000004</v>
      </c>
    </row>
    <row r="20" spans="1:33" ht="16.5" thickBot="1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O20" s="39">
        <f>(1235.8*1496)-(136*10778.3)</f>
        <v>382908.00000000023</v>
      </c>
      <c r="P20">
        <f>O20/5440</f>
        <v>70.387500000000045</v>
      </c>
      <c r="S20" s="2"/>
      <c r="T20" s="5">
        <v>5</v>
      </c>
      <c r="U20" s="12">
        <v>72.400000000000006</v>
      </c>
      <c r="V20" s="36">
        <v>-1.79583425</v>
      </c>
      <c r="W20" s="24">
        <f t="shared" si="6"/>
        <v>74.195834250000004</v>
      </c>
      <c r="X20" s="6">
        <f t="shared" si="7"/>
        <v>74.416911749999997</v>
      </c>
      <c r="Y20" s="6">
        <f t="shared" si="8"/>
        <v>72.621077499999998</v>
      </c>
      <c r="Z20">
        <f t="shared" si="9"/>
        <v>-0.22107749999999271</v>
      </c>
      <c r="AA20">
        <f t="shared" si="10"/>
        <v>4.8875261006246777E-2</v>
      </c>
      <c r="AD20" s="16">
        <v>6</v>
      </c>
      <c r="AE20" s="38">
        <f t="shared" si="4"/>
        <v>76.129170000000002</v>
      </c>
      <c r="AF20" s="12">
        <v>36</v>
      </c>
      <c r="AG20" s="38">
        <f t="shared" si="5"/>
        <v>456.77502000000004</v>
      </c>
    </row>
    <row r="21" spans="1:33" ht="16.5" thickBot="1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S21" s="2"/>
      <c r="T21" s="5">
        <v>6</v>
      </c>
      <c r="U21" s="12">
        <v>74.8</v>
      </c>
      <c r="V21" s="36">
        <v>-1.32917</v>
      </c>
      <c r="W21" s="24">
        <f t="shared" si="6"/>
        <v>76.129170000000002</v>
      </c>
      <c r="X21" s="6">
        <f t="shared" si="7"/>
        <v>75.222794100000002</v>
      </c>
      <c r="Y21" s="6">
        <f t="shared" si="8"/>
        <v>73.893624099999997</v>
      </c>
      <c r="Z21">
        <f t="shared" si="9"/>
        <v>0.90637590000000046</v>
      </c>
      <c r="AA21">
        <f t="shared" si="10"/>
        <v>0.82151727210081082</v>
      </c>
      <c r="AD21" s="16">
        <v>7</v>
      </c>
      <c r="AE21" s="38">
        <f t="shared" si="4"/>
        <v>75.816667999999993</v>
      </c>
      <c r="AF21" s="12">
        <v>49</v>
      </c>
      <c r="AG21" s="38">
        <f t="shared" si="5"/>
        <v>530.71667600000001</v>
      </c>
    </row>
    <row r="22" spans="1:33" ht="16.5" thickBot="1">
      <c r="A22" s="1"/>
      <c r="B22" s="2"/>
      <c r="C22" s="2"/>
      <c r="D22" s="2"/>
      <c r="E22" s="2"/>
      <c r="F22" s="20">
        <v>-1.79583</v>
      </c>
      <c r="G22" s="21">
        <v>-1.32917</v>
      </c>
      <c r="H22" s="21">
        <v>1.2833330000000001</v>
      </c>
      <c r="I22" s="21">
        <v>1.8416669999999999</v>
      </c>
      <c r="J22" s="2">
        <f>SUM(F22,G22,H22,I22)</f>
        <v>0</v>
      </c>
      <c r="K22" s="2"/>
      <c r="L22" s="2"/>
      <c r="O22" s="39">
        <f>(16*10778.3)-(1235.8*136)</f>
        <v>4384</v>
      </c>
      <c r="P22">
        <f>O22/5440</f>
        <v>0.80588235294117649</v>
      </c>
      <c r="S22" s="2"/>
      <c r="T22" s="5">
        <v>7</v>
      </c>
      <c r="U22" s="12">
        <v>77.099999999999994</v>
      </c>
      <c r="V22" s="36">
        <v>1.2833319999999999</v>
      </c>
      <c r="W22" s="24">
        <f t="shared" si="6"/>
        <v>75.816667999999993</v>
      </c>
      <c r="X22" s="6">
        <f t="shared" si="7"/>
        <v>76.028676450000006</v>
      </c>
      <c r="Y22" s="6">
        <f t="shared" si="8"/>
        <v>77.312008450000008</v>
      </c>
      <c r="Z22">
        <f t="shared" si="9"/>
        <v>-0.21200845000001323</v>
      </c>
      <c r="AA22">
        <f t="shared" si="10"/>
        <v>4.4947582871408105E-2</v>
      </c>
      <c r="AD22" s="16">
        <v>8</v>
      </c>
      <c r="AE22" s="38">
        <f t="shared" si="4"/>
        <v>78.358333999999999</v>
      </c>
      <c r="AF22" s="12">
        <v>64</v>
      </c>
      <c r="AG22" s="38">
        <f t="shared" si="5"/>
        <v>626.86667199999999</v>
      </c>
    </row>
    <row r="23" spans="1:33" ht="16.5" thickBot="1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T23" s="5">
        <v>8</v>
      </c>
      <c r="U23" s="12">
        <v>80.2</v>
      </c>
      <c r="V23" s="36">
        <v>1.841666</v>
      </c>
      <c r="W23" s="24">
        <f t="shared" si="6"/>
        <v>78.358333999999999</v>
      </c>
      <c r="X23" s="6">
        <f t="shared" si="7"/>
        <v>76.834558799999996</v>
      </c>
      <c r="Y23" s="6">
        <f t="shared" si="8"/>
        <v>78.6762248</v>
      </c>
      <c r="Z23">
        <f t="shared" si="9"/>
        <v>1.5237752000000029</v>
      </c>
      <c r="AA23">
        <f t="shared" si="10"/>
        <v>2.3218908601350488</v>
      </c>
      <c r="AD23" s="16">
        <v>9</v>
      </c>
      <c r="AE23" s="38">
        <f t="shared" si="4"/>
        <v>81.195834250000004</v>
      </c>
      <c r="AF23" s="12">
        <v>81</v>
      </c>
      <c r="AG23" s="38">
        <f t="shared" si="5"/>
        <v>730.76250825</v>
      </c>
    </row>
    <row r="24" spans="1:33" ht="16.5" thickBo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T24" s="5">
        <v>9</v>
      </c>
      <c r="U24" s="12">
        <v>79.400000000000006</v>
      </c>
      <c r="V24" s="36">
        <v>-1.79583425</v>
      </c>
      <c r="W24" s="24">
        <f t="shared" si="6"/>
        <v>81.195834250000004</v>
      </c>
      <c r="X24" s="6">
        <f t="shared" si="7"/>
        <v>77.640441150000001</v>
      </c>
      <c r="Y24" s="6">
        <f t="shared" si="8"/>
        <v>75.844606900000002</v>
      </c>
      <c r="Z24">
        <f t="shared" si="9"/>
        <v>3.5553931000000034</v>
      </c>
      <c r="AA24">
        <f t="shared" si="10"/>
        <v>12.640820095527634</v>
      </c>
      <c r="AD24" s="16">
        <v>10</v>
      </c>
      <c r="AE24" s="38">
        <f t="shared" si="4"/>
        <v>79.829170000000005</v>
      </c>
      <c r="AF24" s="12">
        <v>100</v>
      </c>
      <c r="AG24" s="38">
        <f t="shared" si="5"/>
        <v>798.29169999999999</v>
      </c>
    </row>
    <row r="25" spans="1:33" ht="16.5" thickBo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T25" s="5">
        <v>10</v>
      </c>
      <c r="U25" s="12">
        <v>78.5</v>
      </c>
      <c r="V25" s="36">
        <v>-1.32917</v>
      </c>
      <c r="W25" s="24">
        <f t="shared" si="6"/>
        <v>79.829170000000005</v>
      </c>
      <c r="X25" s="6">
        <f t="shared" si="7"/>
        <v>78.446323500000005</v>
      </c>
      <c r="Y25" s="6">
        <f t="shared" si="8"/>
        <v>77.117153500000001</v>
      </c>
      <c r="Z25">
        <f t="shared" si="9"/>
        <v>1.3828464999999994</v>
      </c>
      <c r="AA25">
        <f t="shared" si="10"/>
        <v>1.9122644425622484</v>
      </c>
      <c r="AD25" s="16">
        <v>11</v>
      </c>
      <c r="AE25" s="38">
        <f t="shared" si="4"/>
        <v>82.516667999999996</v>
      </c>
      <c r="AF25" s="12">
        <v>121</v>
      </c>
      <c r="AG25" s="38">
        <f t="shared" si="5"/>
        <v>907.68334799999991</v>
      </c>
    </row>
    <row r="26" spans="1:33" ht="16.5" thickBot="1">
      <c r="F26" s="2"/>
      <c r="G26" s="2"/>
      <c r="H26" s="40"/>
      <c r="I26" s="2"/>
      <c r="T26" s="5">
        <v>11</v>
      </c>
      <c r="U26" s="12">
        <v>83.8</v>
      </c>
      <c r="V26" s="36">
        <v>1.2833319999999999</v>
      </c>
      <c r="W26" s="24">
        <f t="shared" si="6"/>
        <v>82.516667999999996</v>
      </c>
      <c r="X26" s="6">
        <f t="shared" si="7"/>
        <v>79.252205849999996</v>
      </c>
      <c r="Y26" s="6">
        <f t="shared" si="8"/>
        <v>80.535537849999997</v>
      </c>
      <c r="Z26">
        <f t="shared" si="9"/>
        <v>3.26446215</v>
      </c>
      <c r="AA26">
        <f t="shared" si="10"/>
        <v>10.656713128782622</v>
      </c>
      <c r="AD26" s="16">
        <v>12</v>
      </c>
      <c r="AE26" s="38">
        <f t="shared" si="4"/>
        <v>82.358333999999999</v>
      </c>
      <c r="AF26" s="12">
        <v>144</v>
      </c>
      <c r="AG26" s="38">
        <f t="shared" si="5"/>
        <v>988.30000799999993</v>
      </c>
    </row>
    <row r="27" spans="1:33" ht="16.5" thickBot="1">
      <c r="F27" s="2"/>
      <c r="G27" s="2"/>
      <c r="H27" s="40"/>
      <c r="I27" s="2"/>
      <c r="T27" s="5">
        <v>12</v>
      </c>
      <c r="U27" s="12">
        <v>84.2</v>
      </c>
      <c r="V27" s="36">
        <v>1.841666</v>
      </c>
      <c r="W27" s="24">
        <f t="shared" si="6"/>
        <v>82.358333999999999</v>
      </c>
      <c r="X27" s="6">
        <f t="shared" si="7"/>
        <v>80.0580882</v>
      </c>
      <c r="Y27" s="6">
        <f t="shared" si="8"/>
        <v>81.899754200000004</v>
      </c>
      <c r="Z27">
        <f t="shared" si="9"/>
        <v>2.300245799999999</v>
      </c>
      <c r="AA27">
        <f t="shared" si="10"/>
        <v>5.2911307404176355</v>
      </c>
      <c r="AD27" s="16">
        <v>13</v>
      </c>
      <c r="AE27" s="38">
        <f t="shared" si="4"/>
        <v>78.895834249999993</v>
      </c>
      <c r="AF27" s="12">
        <v>169</v>
      </c>
      <c r="AG27" s="38">
        <f t="shared" si="5"/>
        <v>1025.6458452499999</v>
      </c>
    </row>
    <row r="28" spans="1:33" ht="16.5" thickBot="1">
      <c r="F28" s="2"/>
      <c r="G28" s="2"/>
      <c r="H28" s="40"/>
      <c r="I28" s="2"/>
      <c r="T28" s="5">
        <v>13</v>
      </c>
      <c r="U28" s="12">
        <v>77.099999999999994</v>
      </c>
      <c r="V28" s="36">
        <v>-1.79583425</v>
      </c>
      <c r="W28" s="24">
        <f t="shared" si="6"/>
        <v>78.895834249999993</v>
      </c>
      <c r="X28" s="6">
        <f t="shared" si="7"/>
        <v>80.863970550000005</v>
      </c>
      <c r="Y28" s="6">
        <f t="shared" si="8"/>
        <v>79.068136300000006</v>
      </c>
      <c r="Z28">
        <f t="shared" si="9"/>
        <v>-1.9681363000000118</v>
      </c>
      <c r="AA28">
        <f t="shared" si="10"/>
        <v>3.8735604953777365</v>
      </c>
      <c r="AD28" s="16">
        <v>14</v>
      </c>
      <c r="AE28" s="38">
        <f t="shared" si="4"/>
        <v>80.629170000000002</v>
      </c>
      <c r="AF28" s="12">
        <v>196</v>
      </c>
      <c r="AG28" s="38">
        <f t="shared" si="5"/>
        <v>1128.8083799999999</v>
      </c>
    </row>
    <row r="29" spans="1:33" ht="16.5" thickBot="1">
      <c r="F29" s="2"/>
      <c r="G29" s="2"/>
      <c r="H29" s="40"/>
      <c r="I29" s="2"/>
      <c r="T29" s="5">
        <v>14</v>
      </c>
      <c r="U29" s="12">
        <v>79.3</v>
      </c>
      <c r="V29" s="36">
        <v>-1.32917</v>
      </c>
      <c r="W29" s="24">
        <f t="shared" si="6"/>
        <v>80.629170000000002</v>
      </c>
      <c r="X29" s="6">
        <f t="shared" si="7"/>
        <v>81.669852899999995</v>
      </c>
      <c r="Y29" s="6">
        <f t="shared" si="8"/>
        <v>80.34068289999999</v>
      </c>
      <c r="Z29">
        <f t="shared" si="9"/>
        <v>-1.0406828999999931</v>
      </c>
      <c r="AA29">
        <f t="shared" si="10"/>
        <v>1.0830208983523957</v>
      </c>
      <c r="AD29" s="16">
        <v>15</v>
      </c>
      <c r="AE29" s="38">
        <f t="shared" si="4"/>
        <v>80.316667999999993</v>
      </c>
      <c r="AF29" s="12">
        <v>225</v>
      </c>
      <c r="AG29" s="38">
        <f t="shared" si="5"/>
        <v>1204.7500199999999</v>
      </c>
    </row>
    <row r="30" spans="1:33" ht="16.5" thickBot="1">
      <c r="F30" s="2"/>
      <c r="G30" s="2"/>
      <c r="H30" s="40"/>
      <c r="I30" s="2"/>
      <c r="T30" s="5">
        <v>15</v>
      </c>
      <c r="U30" s="12">
        <v>81.599999999999994</v>
      </c>
      <c r="V30" s="36">
        <v>1.2833319999999999</v>
      </c>
      <c r="W30" s="24">
        <f t="shared" si="6"/>
        <v>80.316667999999993</v>
      </c>
      <c r="X30" s="6">
        <f t="shared" si="7"/>
        <v>82.47573525</v>
      </c>
      <c r="Y30" s="6">
        <f t="shared" si="8"/>
        <v>83.759067250000001</v>
      </c>
      <c r="Z30">
        <f t="shared" si="9"/>
        <v>-2.1590672500000068</v>
      </c>
      <c r="AA30">
        <f t="shared" si="10"/>
        <v>4.6615713900225915</v>
      </c>
      <c r="AD30" s="16">
        <v>16</v>
      </c>
      <c r="AE30" s="38">
        <f t="shared" si="4"/>
        <v>80.958333999999994</v>
      </c>
      <c r="AF30" s="12">
        <v>256</v>
      </c>
      <c r="AG30" s="38">
        <f t="shared" si="5"/>
        <v>1295.3333439999999</v>
      </c>
    </row>
    <row r="31" spans="1:33" ht="16.5" thickBot="1">
      <c r="F31" s="2"/>
      <c r="G31" s="2"/>
      <c r="H31" s="40"/>
      <c r="I31" s="2"/>
      <c r="J31">
        <f>70.3875+0.80588235*20</f>
        <v>86.505146999999994</v>
      </c>
      <c r="T31" s="5">
        <v>16</v>
      </c>
      <c r="U31" s="12">
        <v>82.8</v>
      </c>
      <c r="V31" s="36">
        <v>1.841666</v>
      </c>
      <c r="W31" s="24">
        <f t="shared" si="6"/>
        <v>80.958333999999994</v>
      </c>
      <c r="X31" s="6">
        <f t="shared" si="7"/>
        <v>83.281617600000004</v>
      </c>
      <c r="Y31" s="6">
        <f t="shared" si="8"/>
        <v>85.123283600000008</v>
      </c>
      <c r="Z31">
        <f t="shared" si="9"/>
        <v>-2.3232836000000106</v>
      </c>
      <c r="AA31">
        <f t="shared" si="10"/>
        <v>5.3976466860290087</v>
      </c>
      <c r="AD31" s="16">
        <v>136</v>
      </c>
      <c r="AE31" s="38">
        <f>SUM(AE15,AE16,AE17,AE18,AE19,AE20,AE21,AE22,AE23,AE24,AE25,AE26,AE27,AE28,AE29,AE30)</f>
        <v>1235.8000249999998</v>
      </c>
      <c r="AF31" s="12">
        <f>SUM(AF15,AF16,AF17,AF18,AF19,AF20,AF21,AF22,AF23,AF24,AF25,AF26,AF27,AF28,AF29,AF30)</f>
        <v>1496</v>
      </c>
      <c r="AG31" s="38">
        <f>SUM(AG15:AG30)</f>
        <v>10778.350207</v>
      </c>
    </row>
    <row r="32" spans="1:33" ht="15.75">
      <c r="F32" s="2"/>
      <c r="G32" s="2"/>
      <c r="H32" s="40"/>
      <c r="I32" s="2"/>
    </row>
    <row r="33" spans="6:23" ht="15.75">
      <c r="F33" s="2"/>
      <c r="G33" s="2"/>
      <c r="H33" s="40"/>
      <c r="I33" s="2"/>
    </row>
    <row r="34" spans="6:23" ht="15.75">
      <c r="F34" s="2"/>
      <c r="G34" s="2"/>
      <c r="H34" s="40"/>
      <c r="I34" s="2"/>
      <c r="J34">
        <f>85.69926+ 1.283333</f>
        <v>86.982592999999994</v>
      </c>
    </row>
    <row r="35" spans="6:23" ht="15.75">
      <c r="F35" s="2"/>
      <c r="G35" s="2"/>
      <c r="H35" s="40"/>
      <c r="I35" s="2"/>
    </row>
    <row r="36" spans="6:23" ht="15.75">
      <c r="F36" s="2"/>
      <c r="G36" s="2"/>
      <c r="H36" s="40"/>
      <c r="I36" s="2"/>
    </row>
    <row r="37" spans="6:23" ht="15.75">
      <c r="F37" s="2"/>
      <c r="G37" s="2"/>
      <c r="H37" s="40"/>
      <c r="I37" s="2"/>
    </row>
    <row r="38" spans="6:23" ht="15.75">
      <c r="F38" s="2"/>
      <c r="G38" s="2"/>
      <c r="H38" s="40"/>
      <c r="I38" s="2"/>
    </row>
    <row r="39" spans="6:23" ht="15.75">
      <c r="F39" s="2"/>
      <c r="G39" s="2"/>
      <c r="H39" s="40"/>
      <c r="I39" s="2"/>
    </row>
    <row r="40" spans="6:23" ht="15.75">
      <c r="F40" s="2"/>
      <c r="G40" s="2"/>
      <c r="H40" s="40"/>
      <c r="I40" s="2"/>
    </row>
    <row r="41" spans="6:23" ht="15.75">
      <c r="F41" s="2"/>
      <c r="G41" s="2"/>
      <c r="H41" s="40"/>
      <c r="I41" s="2"/>
    </row>
    <row r="42" spans="6:23">
      <c r="F42" s="2"/>
      <c r="G42" s="2"/>
      <c r="H42" s="2"/>
      <c r="I42" s="2"/>
    </row>
    <row r="43" spans="6:23" ht="15.75">
      <c r="H43" s="40">
        <v>68.2</v>
      </c>
      <c r="I43">
        <v>70.400000000000006</v>
      </c>
      <c r="J43">
        <v>72.8</v>
      </c>
      <c r="K43">
        <v>73.2</v>
      </c>
      <c r="L43">
        <v>72.400000000000006</v>
      </c>
      <c r="M43">
        <v>74.8</v>
      </c>
      <c r="N43">
        <v>77.099999999999994</v>
      </c>
      <c r="O43">
        <v>80.2</v>
      </c>
      <c r="P43">
        <v>79.400000000000006</v>
      </c>
      <c r="Q43">
        <v>78.5</v>
      </c>
      <c r="R43">
        <v>83.8</v>
      </c>
      <c r="S43">
        <v>84.2</v>
      </c>
      <c r="T43">
        <v>77.099999999999994</v>
      </c>
      <c r="U43">
        <v>79.3</v>
      </c>
      <c r="V43">
        <v>81.599999999999994</v>
      </c>
      <c r="W43">
        <v>82.8</v>
      </c>
    </row>
  </sheetData>
  <mergeCells count="12">
    <mergeCell ref="M12:M13"/>
    <mergeCell ref="N12:N13"/>
    <mergeCell ref="O12:O13"/>
    <mergeCell ref="P12:P13"/>
    <mergeCell ref="Q12:Q13"/>
    <mergeCell ref="N3:Q3"/>
    <mergeCell ref="L4:L8"/>
    <mergeCell ref="M10:M11"/>
    <mergeCell ref="N10:N11"/>
    <mergeCell ref="O10:O11"/>
    <mergeCell ref="P10:P11"/>
    <mergeCell ref="Q10:Q1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Y43"/>
  <sheetViews>
    <sheetView topLeftCell="S12" zoomScale="90" zoomScaleNormal="90" workbookViewId="0">
      <selection activeCell="AE15" sqref="AE15"/>
    </sheetView>
  </sheetViews>
  <sheetFormatPr defaultRowHeight="15"/>
  <cols>
    <col min="5" max="5" width="20.85546875" bestFit="1" customWidth="1"/>
    <col min="6" max="6" width="13.85546875" bestFit="1" customWidth="1"/>
    <col min="7" max="7" width="5.85546875" customWidth="1"/>
    <col min="8" max="8" width="11.5703125" bestFit="1" customWidth="1"/>
    <col min="11" max="11" width="5" customWidth="1"/>
    <col min="12" max="12" width="18.140625" customWidth="1"/>
    <col min="14" max="14" width="15.140625" bestFit="1" customWidth="1"/>
    <col min="15" max="15" width="10.42578125" bestFit="1" customWidth="1"/>
    <col min="16" max="16" width="10.7109375" bestFit="1" customWidth="1"/>
    <col min="17" max="17" width="9.5703125" bestFit="1" customWidth="1"/>
    <col min="18" max="18" width="12.5703125" bestFit="1" customWidth="1"/>
    <col min="22" max="22" width="10.5703125" bestFit="1" customWidth="1"/>
    <col min="23" max="23" width="10.28515625" bestFit="1" customWidth="1"/>
    <col min="25" max="25" width="11.28515625" bestFit="1" customWidth="1"/>
    <col min="26" max="26" width="15.28515625" customWidth="1"/>
    <col min="31" max="31" width="13.140625" bestFit="1" customWidth="1"/>
    <col min="33" max="33" width="14.28515625" bestFit="1" customWidth="1"/>
    <col min="36" max="36" width="11.85546875" bestFit="1" customWidth="1"/>
  </cols>
  <sheetData>
    <row r="1" spans="1:51" ht="15.75" thickBot="1"/>
    <row r="2" spans="1:51" ht="16.5" thickTop="1" thickBot="1">
      <c r="A2" s="26">
        <v>68.2</v>
      </c>
      <c r="B2" s="6"/>
      <c r="C2" s="6"/>
      <c r="D2" s="6"/>
      <c r="E2" s="6"/>
      <c r="F2" s="25"/>
      <c r="G2" s="2"/>
      <c r="H2" s="2"/>
      <c r="I2" s="2"/>
      <c r="J2" s="2"/>
      <c r="K2" s="2"/>
      <c r="S2" s="2"/>
      <c r="T2" s="2"/>
      <c r="U2" s="2"/>
    </row>
    <row r="3" spans="1:51" ht="32.25" customHeight="1" thickBot="1">
      <c r="A3" s="27">
        <v>70.400000000000006</v>
      </c>
      <c r="B3" s="6">
        <f>SUM(A2,A3,A4,A5)</f>
        <v>284.60000000000002</v>
      </c>
      <c r="C3" s="6">
        <f>B3/4</f>
        <v>71.150000000000006</v>
      </c>
      <c r="D3" s="6"/>
      <c r="E3" s="6"/>
      <c r="F3" s="25"/>
      <c r="G3" s="2"/>
      <c r="H3" s="2"/>
      <c r="I3" s="2"/>
      <c r="J3" s="2"/>
      <c r="K3" s="3"/>
      <c r="L3" s="7" t="s">
        <v>0</v>
      </c>
      <c r="M3" s="13" t="s">
        <v>1</v>
      </c>
      <c r="N3" s="58" t="s">
        <v>2</v>
      </c>
      <c r="O3" s="59"/>
      <c r="P3" s="59"/>
      <c r="Q3" s="60"/>
      <c r="S3" s="2"/>
      <c r="T3" s="2"/>
      <c r="U3" s="2"/>
    </row>
    <row r="4" spans="1:51" ht="16.5" thickBot="1">
      <c r="A4" s="27">
        <v>72.8</v>
      </c>
      <c r="B4" s="6">
        <f t="shared" ref="B4:B17" si="0">SUM(A3,A4,A5,A6)</f>
        <v>288.79999999999995</v>
      </c>
      <c r="C4" s="6">
        <f t="shared" ref="C4:C17" si="1">B4/4</f>
        <v>72.199999999999989</v>
      </c>
      <c r="D4" s="6">
        <f>(C3+C4)/2</f>
        <v>71.674999999999997</v>
      </c>
      <c r="E4" s="25">
        <f>A4/D4</f>
        <v>1.0156958493198465</v>
      </c>
      <c r="F4" s="25"/>
      <c r="G4" s="2"/>
      <c r="H4" s="2"/>
      <c r="I4" s="2"/>
      <c r="J4" s="2"/>
      <c r="K4" s="3"/>
      <c r="L4" s="61"/>
      <c r="M4" s="9" t="s">
        <v>3</v>
      </c>
      <c r="N4" s="11">
        <v>1</v>
      </c>
      <c r="O4" s="11">
        <v>2</v>
      </c>
      <c r="P4" s="11">
        <v>3</v>
      </c>
      <c r="Q4" s="11">
        <v>4</v>
      </c>
      <c r="S4" s="2"/>
      <c r="T4" s="17"/>
      <c r="U4" s="2"/>
    </row>
    <row r="5" spans="1:51" ht="16.5" thickBot="1">
      <c r="A5" s="27">
        <v>73.2</v>
      </c>
      <c r="B5" s="6">
        <f t="shared" si="0"/>
        <v>293.2</v>
      </c>
      <c r="C5" s="6">
        <f t="shared" si="1"/>
        <v>73.3</v>
      </c>
      <c r="D5" s="6">
        <f t="shared" ref="D5:D17" si="2">(C4+C5)/2</f>
        <v>72.75</v>
      </c>
      <c r="E5" s="25">
        <f t="shared" ref="E5:E15" si="3">A5/D5</f>
        <v>1.0061855670103093</v>
      </c>
      <c r="F5" s="25"/>
      <c r="G5" s="2"/>
      <c r="H5" s="2"/>
      <c r="I5" s="2"/>
      <c r="J5" s="2"/>
      <c r="K5" s="3"/>
      <c r="L5" s="62"/>
      <c r="M5" s="10">
        <v>1</v>
      </c>
      <c r="N5" s="42" t="s">
        <v>4</v>
      </c>
      <c r="O5" s="43" t="s">
        <v>4</v>
      </c>
      <c r="P5" s="13">
        <v>1.0157</v>
      </c>
      <c r="Q5" s="45">
        <v>1.0062</v>
      </c>
      <c r="S5" s="2"/>
      <c r="T5" s="17"/>
      <c r="U5" s="2"/>
    </row>
    <row r="6" spans="1:51" ht="16.5" thickBot="1">
      <c r="A6" s="27">
        <v>72.400000000000006</v>
      </c>
      <c r="B6" s="6">
        <f t="shared" si="0"/>
        <v>297.5</v>
      </c>
      <c r="C6" s="6">
        <f t="shared" si="1"/>
        <v>74.375</v>
      </c>
      <c r="D6" s="6">
        <f t="shared" si="2"/>
        <v>73.837500000000006</v>
      </c>
      <c r="E6" s="25">
        <f t="shared" si="3"/>
        <v>0.98053157271034364</v>
      </c>
      <c r="F6" s="25"/>
      <c r="G6" s="2"/>
      <c r="H6" s="2"/>
      <c r="I6" s="2"/>
      <c r="J6" s="2"/>
      <c r="K6" s="3"/>
      <c r="L6" s="62"/>
      <c r="M6" s="10">
        <v>2</v>
      </c>
      <c r="N6" s="15">
        <v>0.98050000000000004</v>
      </c>
      <c r="O6" s="46">
        <v>0.99399999999999999</v>
      </c>
      <c r="P6" s="11">
        <v>1.0013000000000001</v>
      </c>
      <c r="Q6" s="11">
        <v>1.0238</v>
      </c>
      <c r="S6" s="2"/>
      <c r="T6" s="17"/>
      <c r="U6" s="2"/>
    </row>
    <row r="7" spans="1:51" ht="16.5" thickBot="1">
      <c r="A7" s="27">
        <v>74.8</v>
      </c>
      <c r="B7" s="6">
        <f t="shared" si="0"/>
        <v>304.5</v>
      </c>
      <c r="C7" s="6">
        <f t="shared" si="1"/>
        <v>76.125</v>
      </c>
      <c r="D7" s="6">
        <f t="shared" si="2"/>
        <v>75.25</v>
      </c>
      <c r="E7" s="25">
        <f t="shared" si="3"/>
        <v>0.99401993355481721</v>
      </c>
      <c r="F7" s="25"/>
      <c r="G7" s="2"/>
      <c r="H7" s="2"/>
      <c r="I7" s="2"/>
      <c r="J7" s="2"/>
      <c r="K7" s="3"/>
      <c r="L7" s="62"/>
      <c r="M7" s="10">
        <v>3</v>
      </c>
      <c r="N7" s="15">
        <v>0.997</v>
      </c>
      <c r="O7" s="11">
        <v>0.96940000000000004</v>
      </c>
      <c r="P7" s="11">
        <v>1.0322</v>
      </c>
      <c r="Q7" s="11">
        <v>1.0395000000000001</v>
      </c>
      <c r="S7" s="2"/>
      <c r="T7" s="17"/>
      <c r="U7" s="2"/>
    </row>
    <row r="8" spans="1:51" ht="16.5" thickBot="1">
      <c r="A8" s="27">
        <v>77.099999999999994</v>
      </c>
      <c r="B8" s="6">
        <f t="shared" si="0"/>
        <v>311.5</v>
      </c>
      <c r="C8" s="6">
        <f t="shared" si="1"/>
        <v>77.875</v>
      </c>
      <c r="D8" s="6">
        <f t="shared" si="2"/>
        <v>77</v>
      </c>
      <c r="E8" s="25">
        <f t="shared" si="3"/>
        <v>1.0012987012987011</v>
      </c>
      <c r="F8" s="25"/>
      <c r="G8" s="2"/>
      <c r="H8" s="2"/>
      <c r="I8" s="2"/>
      <c r="J8" s="2"/>
      <c r="K8" s="3"/>
      <c r="L8" s="63"/>
      <c r="M8" s="11">
        <v>4</v>
      </c>
      <c r="N8" s="15">
        <v>0.95389999999999997</v>
      </c>
      <c r="O8" s="44">
        <v>0.98660000000000003</v>
      </c>
      <c r="P8" s="44" t="s">
        <v>4</v>
      </c>
      <c r="Q8" s="44" t="s">
        <v>4</v>
      </c>
      <c r="S8" s="2"/>
      <c r="T8" s="17"/>
      <c r="U8" s="2"/>
    </row>
    <row r="9" spans="1:51" ht="48" thickBot="1">
      <c r="A9" s="27">
        <v>80.2</v>
      </c>
      <c r="B9" s="6">
        <f t="shared" si="0"/>
        <v>315.20000000000005</v>
      </c>
      <c r="C9" s="6">
        <f t="shared" si="1"/>
        <v>78.800000000000011</v>
      </c>
      <c r="D9" s="6">
        <f t="shared" si="2"/>
        <v>78.337500000000006</v>
      </c>
      <c r="E9" s="25">
        <f t="shared" si="3"/>
        <v>1.0237753310994095</v>
      </c>
      <c r="F9" s="25"/>
      <c r="G9" s="2"/>
      <c r="H9" s="2"/>
      <c r="I9" s="2"/>
      <c r="J9" s="2"/>
      <c r="K9" s="3"/>
      <c r="L9" s="15" t="s">
        <v>5</v>
      </c>
      <c r="M9" s="11"/>
      <c r="N9" s="12">
        <f>SUM(N6,N7,N8)</f>
        <v>2.9314</v>
      </c>
      <c r="O9" s="22">
        <f>SUM(O6,O7,O8)</f>
        <v>2.95</v>
      </c>
      <c r="P9" s="22">
        <f>SUM(P5,P6,P7)</f>
        <v>3.0492000000000004</v>
      </c>
      <c r="Q9" s="22">
        <f>SUM(Q5,Q6,Q7)</f>
        <v>3.0695000000000006</v>
      </c>
      <c r="R9" s="23">
        <f>SUM(N9,O9,P9,Q9)</f>
        <v>12.0001</v>
      </c>
      <c r="S9" s="2"/>
      <c r="T9" s="17"/>
      <c r="U9" s="2"/>
    </row>
    <row r="10" spans="1:51" ht="32.25" thickBot="1">
      <c r="A10" s="27">
        <v>79.400000000000006</v>
      </c>
      <c r="B10" s="6">
        <f t="shared" si="0"/>
        <v>321.90000000000003</v>
      </c>
      <c r="C10" s="6">
        <f t="shared" si="1"/>
        <v>80.475000000000009</v>
      </c>
      <c r="D10" s="6">
        <f t="shared" si="2"/>
        <v>79.637500000000017</v>
      </c>
      <c r="E10" s="25">
        <f t="shared" si="3"/>
        <v>0.99701773661905491</v>
      </c>
      <c r="F10" s="25"/>
      <c r="G10" s="2"/>
      <c r="H10" s="2"/>
      <c r="I10" s="2"/>
      <c r="J10" s="2"/>
      <c r="K10" s="3"/>
      <c r="L10" s="14" t="s">
        <v>6</v>
      </c>
      <c r="M10" s="61"/>
      <c r="N10" s="64">
        <f>(N6+N7+N8)/3</f>
        <v>0.9771333333333333</v>
      </c>
      <c r="O10" s="66">
        <f>(O6+O7+O8)/3</f>
        <v>0.98333333333333339</v>
      </c>
      <c r="P10" s="68">
        <f>(P5+P6+P7)/3</f>
        <v>1.0164000000000002</v>
      </c>
      <c r="Q10" s="70">
        <f>(Q5+Q6+Q7)/3</f>
        <v>1.0231666666666668</v>
      </c>
      <c r="S10" s="2"/>
      <c r="T10" s="17"/>
      <c r="U10" s="2"/>
    </row>
    <row r="11" spans="1:51" ht="32.25" thickBot="1">
      <c r="A11" s="27">
        <v>78.5</v>
      </c>
      <c r="B11" s="6">
        <f t="shared" si="0"/>
        <v>325.89999999999998</v>
      </c>
      <c r="C11" s="6">
        <f t="shared" si="1"/>
        <v>81.474999999999994</v>
      </c>
      <c r="D11" s="6">
        <f t="shared" si="2"/>
        <v>80.974999999999994</v>
      </c>
      <c r="E11" s="25">
        <f t="shared" si="3"/>
        <v>0.9694350108058043</v>
      </c>
      <c r="F11" s="25"/>
      <c r="G11" s="2"/>
      <c r="H11" s="2"/>
      <c r="I11" s="2"/>
      <c r="J11" s="2"/>
      <c r="K11" s="3"/>
      <c r="L11" s="15" t="s">
        <v>19</v>
      </c>
      <c r="M11" s="63"/>
      <c r="N11" s="65"/>
      <c r="O11" s="67"/>
      <c r="P11" s="69"/>
      <c r="Q11" s="71"/>
      <c r="R11" s="49">
        <f>SUM(N10,O10,P10,Q10)</f>
        <v>4.0000333333333336</v>
      </c>
      <c r="S11" s="2">
        <f>4/4.0000333</f>
        <v>0.99999167506930497</v>
      </c>
      <c r="T11" s="17"/>
      <c r="U11" s="2"/>
    </row>
    <row r="12" spans="1:51" ht="32.25" thickBot="1">
      <c r="A12" s="27">
        <v>83.8</v>
      </c>
      <c r="B12" s="6">
        <f t="shared" si="0"/>
        <v>323.60000000000002</v>
      </c>
      <c r="C12" s="6">
        <f t="shared" si="1"/>
        <v>80.900000000000006</v>
      </c>
      <c r="D12" s="6">
        <f t="shared" si="2"/>
        <v>81.1875</v>
      </c>
      <c r="E12" s="25">
        <f t="shared" si="3"/>
        <v>1.0321785989222478</v>
      </c>
      <c r="F12" s="25"/>
      <c r="G12" s="2"/>
      <c r="H12" s="2"/>
      <c r="I12" s="2"/>
      <c r="J12" s="2"/>
      <c r="K12" s="3"/>
      <c r="L12" s="14" t="s">
        <v>7</v>
      </c>
      <c r="M12" s="61"/>
      <c r="N12" s="72">
        <f>N10*S11</f>
        <v>0.97712519876605353</v>
      </c>
      <c r="O12" s="66">
        <f>O10*S11</f>
        <v>0.98332514715148334</v>
      </c>
      <c r="P12" s="68">
        <f>P10*S11</f>
        <v>1.0163915385404418</v>
      </c>
      <c r="Q12" s="68">
        <f>Q10*S11</f>
        <v>1.0231581488750774</v>
      </c>
      <c r="S12" s="2"/>
      <c r="T12" s="17"/>
      <c r="U12" s="2"/>
    </row>
    <row r="13" spans="1:51" ht="19.5" thickBot="1">
      <c r="A13" s="27">
        <v>84.2</v>
      </c>
      <c r="B13" s="6">
        <f t="shared" si="0"/>
        <v>324.39999999999998</v>
      </c>
      <c r="C13" s="6">
        <f t="shared" si="1"/>
        <v>81.099999999999994</v>
      </c>
      <c r="D13" s="6">
        <f t="shared" si="2"/>
        <v>81</v>
      </c>
      <c r="E13" s="25">
        <f t="shared" si="3"/>
        <v>1.0395061728395063</v>
      </c>
      <c r="F13" s="25"/>
      <c r="G13" s="2"/>
      <c r="H13" s="2"/>
      <c r="I13" s="2"/>
      <c r="J13" s="2"/>
      <c r="K13" s="3"/>
      <c r="L13" s="15" t="s">
        <v>8</v>
      </c>
      <c r="M13" s="63"/>
      <c r="N13" s="73"/>
      <c r="O13" s="67"/>
      <c r="P13" s="69"/>
      <c r="Q13" s="69"/>
      <c r="R13" s="23">
        <f>SUM(N12,O12,P12,Q12)</f>
        <v>4.0000000333330563</v>
      </c>
      <c r="S13" s="2"/>
      <c r="T13" s="17"/>
      <c r="U13" s="2"/>
    </row>
    <row r="14" spans="1:51" ht="21" thickBot="1">
      <c r="A14" s="27">
        <v>77.099999999999994</v>
      </c>
      <c r="B14" s="6">
        <f t="shared" si="0"/>
        <v>322.20000000000005</v>
      </c>
      <c r="C14" s="6">
        <f t="shared" si="1"/>
        <v>80.550000000000011</v>
      </c>
      <c r="D14" s="6">
        <f t="shared" si="2"/>
        <v>80.825000000000003</v>
      </c>
      <c r="E14" s="25">
        <f t="shared" si="3"/>
        <v>0.95391277451283629</v>
      </c>
      <c r="F14" s="25"/>
      <c r="G14" s="2"/>
      <c r="H14" s="2"/>
      <c r="I14" s="2"/>
      <c r="J14" s="2"/>
      <c r="K14" s="3"/>
      <c r="S14" s="2"/>
      <c r="T14" s="30" t="s">
        <v>9</v>
      </c>
      <c r="U14" s="31" t="s">
        <v>10</v>
      </c>
      <c r="V14" s="34" t="s">
        <v>11</v>
      </c>
      <c r="W14" s="37" t="s">
        <v>20</v>
      </c>
      <c r="X14" s="37" t="s">
        <v>9</v>
      </c>
      <c r="Y14" s="37" t="s">
        <v>24</v>
      </c>
      <c r="Z14" s="30" t="s">
        <v>25</v>
      </c>
      <c r="AA14" s="33" t="s">
        <v>18</v>
      </c>
      <c r="AD14" s="30" t="s">
        <v>9</v>
      </c>
      <c r="AE14" s="31" t="s">
        <v>21</v>
      </c>
      <c r="AF14" s="31" t="s">
        <v>15</v>
      </c>
      <c r="AG14" s="31" t="s">
        <v>22</v>
      </c>
      <c r="AH14" s="52" t="s">
        <v>23</v>
      </c>
    </row>
    <row r="15" spans="1:51" ht="19.5" thickBot="1">
      <c r="A15" s="27">
        <v>79.3</v>
      </c>
      <c r="B15" s="6">
        <f t="shared" si="0"/>
        <v>320.79999999999995</v>
      </c>
      <c r="C15" s="6">
        <f t="shared" si="1"/>
        <v>80.199999999999989</v>
      </c>
      <c r="D15" s="6">
        <f t="shared" si="2"/>
        <v>80.375</v>
      </c>
      <c r="E15" s="25">
        <f t="shared" si="3"/>
        <v>0.98662519440124419</v>
      </c>
      <c r="F15" s="25"/>
      <c r="G15" s="2"/>
      <c r="H15" s="2"/>
      <c r="I15" s="2"/>
      <c r="J15" s="2"/>
      <c r="K15" s="3"/>
      <c r="S15" s="2"/>
      <c r="T15" s="5">
        <v>1</v>
      </c>
      <c r="U15" s="32">
        <v>2</v>
      </c>
      <c r="V15" s="35">
        <v>3</v>
      </c>
      <c r="W15" s="37">
        <v>4</v>
      </c>
      <c r="X15" s="37">
        <v>5</v>
      </c>
      <c r="Y15" s="37">
        <v>6</v>
      </c>
      <c r="Z15" s="5">
        <v>7</v>
      </c>
      <c r="AA15" s="33">
        <v>8</v>
      </c>
      <c r="AD15" s="16">
        <v>1</v>
      </c>
      <c r="AE15" s="50">
        <v>69.796599999999998</v>
      </c>
      <c r="AF15" s="12">
        <v>1</v>
      </c>
      <c r="AG15" s="22">
        <f>AD15*(AE15)</f>
        <v>69.796599999999998</v>
      </c>
      <c r="AJ15" s="53">
        <v>-14.8903</v>
      </c>
      <c r="AK15">
        <v>-12.686</v>
      </c>
      <c r="AL15">
        <v>-10.481</v>
      </c>
      <c r="AM15">
        <v>-8.2769999999999992</v>
      </c>
      <c r="AN15">
        <v>-6.0720000000000001</v>
      </c>
      <c r="AO15">
        <v>-3.8679999999999999</v>
      </c>
      <c r="AP15">
        <v>-1.663</v>
      </c>
      <c r="AQ15">
        <v>0.54100000000000004</v>
      </c>
      <c r="AR15">
        <v>2.746</v>
      </c>
      <c r="AS15">
        <v>4.95</v>
      </c>
      <c r="AT15">
        <v>7.1550000000000002</v>
      </c>
      <c r="AU15">
        <v>9.359</v>
      </c>
      <c r="AV15">
        <v>11.564</v>
      </c>
      <c r="AW15">
        <v>13.768000000000001</v>
      </c>
      <c r="AX15">
        <v>15.973000000000001</v>
      </c>
      <c r="AY15">
        <v>18.177</v>
      </c>
    </row>
    <row r="16" spans="1:51" ht="19.5" thickBot="1">
      <c r="A16" s="27">
        <v>81.599999999999994</v>
      </c>
      <c r="B16" s="6">
        <f t="shared" si="0"/>
        <v>243.7</v>
      </c>
      <c r="C16" s="6">
        <f t="shared" si="1"/>
        <v>60.924999999999997</v>
      </c>
      <c r="D16" s="6">
        <f t="shared" si="2"/>
        <v>70.5625</v>
      </c>
      <c r="E16" s="6"/>
      <c r="F16" s="25"/>
      <c r="G16" s="2"/>
      <c r="H16" s="2"/>
      <c r="I16" s="2"/>
      <c r="J16" s="2"/>
      <c r="K16" s="3"/>
      <c r="S16" s="2"/>
      <c r="T16" s="5">
        <v>1</v>
      </c>
      <c r="U16" s="12">
        <v>68.2</v>
      </c>
      <c r="V16" s="55">
        <v>0.97712520000000003</v>
      </c>
      <c r="W16" s="25">
        <f>U16/V16</f>
        <v>69.79658287392445</v>
      </c>
      <c r="X16" s="6">
        <f>67.525 + 0.6816 *T16</f>
        <v>68.206600000000009</v>
      </c>
      <c r="Y16" s="25">
        <f>X16*V16</f>
        <v>66.64638766632001</v>
      </c>
      <c r="Z16" s="48">
        <f>U16/Y16</f>
        <v>1.0233112759457947</v>
      </c>
      <c r="AA16">
        <f>Z16^2</f>
        <v>1.0471659674778104</v>
      </c>
      <c r="AD16" s="16">
        <v>2</v>
      </c>
      <c r="AE16" s="51">
        <v>71.593500000000006</v>
      </c>
      <c r="AF16" s="12">
        <v>4</v>
      </c>
      <c r="AG16" s="22">
        <f t="shared" ref="AG16:AG30" si="4">AD16*(AE16)</f>
        <v>143.18700000000001</v>
      </c>
      <c r="AI16" s="2"/>
      <c r="AJ16" s="54"/>
      <c r="AK16" s="2"/>
    </row>
    <row r="17" spans="1:51" ht="19.5" thickBot="1">
      <c r="A17" s="27">
        <v>82.8</v>
      </c>
      <c r="B17" s="6">
        <f t="shared" si="0"/>
        <v>162.59999999999997</v>
      </c>
      <c r="C17" s="6">
        <f t="shared" si="1"/>
        <v>40.649999999999991</v>
      </c>
      <c r="D17" s="6">
        <f t="shared" si="2"/>
        <v>50.787499999999994</v>
      </c>
      <c r="E17" s="6"/>
      <c r="F17" s="25"/>
      <c r="G17" s="2"/>
      <c r="H17" s="18">
        <v>-1.8333341999999999</v>
      </c>
      <c r="I17" s="19">
        <v>-1.3332999999999999</v>
      </c>
      <c r="J17" s="19">
        <v>1.2791699999999999</v>
      </c>
      <c r="K17" s="41">
        <v>1.8374999999999999</v>
      </c>
      <c r="L17">
        <f>SUM(H17,I17,J17,K17)</f>
        <v>-4.9964200000000014E-2</v>
      </c>
      <c r="S17" s="2"/>
      <c r="T17" s="5">
        <v>2</v>
      </c>
      <c r="U17" s="12">
        <v>70.400000000000006</v>
      </c>
      <c r="V17" s="56">
        <v>0.98333000000000004</v>
      </c>
      <c r="W17" s="25">
        <f t="shared" ref="W17:W31" si="5">U17/V17</f>
        <v>71.593463028688234</v>
      </c>
      <c r="X17" s="6">
        <f t="shared" ref="X17:X31" si="6">67.525 + 0.6816 *T17</f>
        <v>68.888200000000012</v>
      </c>
      <c r="Y17" s="25">
        <f t="shared" ref="Y17:Y31" si="7">X17*V17</f>
        <v>67.739833706000013</v>
      </c>
      <c r="Z17" s="48">
        <f t="shared" ref="Z17:Z31" si="8">U17/Y17</f>
        <v>1.0392703398940344</v>
      </c>
      <c r="AA17">
        <f t="shared" ref="AA17:AA31" si="9">Z17^2</f>
        <v>1.0800828393834618</v>
      </c>
      <c r="AD17" s="16">
        <v>3</v>
      </c>
      <c r="AE17" s="51">
        <v>56.728700000000003</v>
      </c>
      <c r="AF17" s="12">
        <v>9</v>
      </c>
      <c r="AG17" s="22">
        <f t="shared" si="4"/>
        <v>170.18610000000001</v>
      </c>
      <c r="AI17" s="2"/>
      <c r="AJ17" s="50">
        <v>26.740500000000001</v>
      </c>
      <c r="AK17" s="2">
        <v>16.861599999999999</v>
      </c>
      <c r="AL17">
        <v>-13.451000000000001</v>
      </c>
      <c r="AM17">
        <v>-15.2431</v>
      </c>
      <c r="AN17">
        <v>10.9048</v>
      </c>
      <c r="AO17">
        <v>5.141</v>
      </c>
      <c r="AP17">
        <v>-2.1345999999999998</v>
      </c>
      <c r="AQ17">
        <v>0.99670000000000003</v>
      </c>
      <c r="AR17">
        <v>-4.9307999999999996</v>
      </c>
      <c r="AS17">
        <v>-6.5796999999999999</v>
      </c>
      <c r="AT17">
        <v>9.1819000000000006</v>
      </c>
      <c r="AU17">
        <v>17.236499999999999</v>
      </c>
      <c r="AV17">
        <v>-20.766500000000001</v>
      </c>
      <c r="AW17">
        <v>-18.3003</v>
      </c>
      <c r="AX17">
        <v>20.4983</v>
      </c>
      <c r="AY17">
        <v>33.476300000000002</v>
      </c>
    </row>
    <row r="18" spans="1:51" ht="19.5" thickBot="1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S18" s="2"/>
      <c r="T18" s="5">
        <v>3</v>
      </c>
      <c r="U18" s="12">
        <v>72.8</v>
      </c>
      <c r="V18" s="57">
        <v>1.2833000000000001</v>
      </c>
      <c r="W18" s="25">
        <f t="shared" si="5"/>
        <v>56.728746201200025</v>
      </c>
      <c r="X18" s="6">
        <f t="shared" si="6"/>
        <v>69.569800000000001</v>
      </c>
      <c r="Y18" s="25">
        <f t="shared" si="7"/>
        <v>89.278924340000003</v>
      </c>
      <c r="Z18" s="48">
        <f t="shared" si="8"/>
        <v>0.81542201071729437</v>
      </c>
      <c r="AA18">
        <f t="shared" si="9"/>
        <v>0.66491305556223534</v>
      </c>
      <c r="AD18" s="16">
        <v>4</v>
      </c>
      <c r="AE18" s="51">
        <v>72.019499999999994</v>
      </c>
      <c r="AF18" s="12">
        <v>16</v>
      </c>
      <c r="AG18" s="22">
        <f t="shared" si="4"/>
        <v>288.07799999999997</v>
      </c>
      <c r="AI18" s="2"/>
      <c r="AJ18" s="51">
        <v>16.861599999999999</v>
      </c>
      <c r="AK18" s="2"/>
    </row>
    <row r="19" spans="1:51" ht="19.5" thickBot="1">
      <c r="A19" s="18">
        <v>-1.8</v>
      </c>
      <c r="B19" s="19">
        <v>-1.3333299999999999</v>
      </c>
      <c r="C19" s="19">
        <v>1.2791669999999999</v>
      </c>
      <c r="D19" s="19">
        <v>1.8374999999999999</v>
      </c>
      <c r="E19" s="2">
        <f>SUM(A19,B19,C19,D19)</f>
        <v>-1.6663000000000094E-2</v>
      </c>
      <c r="F19" s="29">
        <f>E19/4</f>
        <v>-4.1657500000000236E-3</v>
      </c>
      <c r="G19" s="2"/>
      <c r="H19" s="2">
        <v>-1.8333341000000001</v>
      </c>
      <c r="I19" s="2"/>
      <c r="J19" s="2"/>
      <c r="K19" s="2"/>
      <c r="L19" s="2"/>
      <c r="S19" s="2"/>
      <c r="T19" s="5">
        <v>4</v>
      </c>
      <c r="U19" s="12">
        <v>73.2</v>
      </c>
      <c r="V19" s="56">
        <v>1.016392</v>
      </c>
      <c r="W19" s="25">
        <f t="shared" si="5"/>
        <v>72.01945705987454</v>
      </c>
      <c r="X19" s="6">
        <f t="shared" si="6"/>
        <v>70.251400000000004</v>
      </c>
      <c r="Y19" s="25">
        <f t="shared" si="7"/>
        <v>71.402960948800001</v>
      </c>
      <c r="Z19" s="48">
        <f t="shared" si="8"/>
        <v>1.0251675704665606</v>
      </c>
      <c r="AA19">
        <f t="shared" si="9"/>
        <v>1.0509685475363104</v>
      </c>
      <c r="AD19" s="16">
        <v>5</v>
      </c>
      <c r="AE19" s="51">
        <v>74.094899999999996</v>
      </c>
      <c r="AF19" s="12">
        <v>25</v>
      </c>
      <c r="AG19" s="22">
        <f t="shared" si="4"/>
        <v>370.47449999999998</v>
      </c>
      <c r="AI19" s="2"/>
      <c r="AJ19" s="51">
        <v>-13.451000000000001</v>
      </c>
      <c r="AK19" s="2"/>
    </row>
    <row r="20" spans="1:51" ht="19.5" thickBot="1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O20" s="39">
        <f>(1235.8*1496)-(136*10778.3)</f>
        <v>382908.00000000023</v>
      </c>
      <c r="P20">
        <f>O20/5440</f>
        <v>70.387500000000045</v>
      </c>
      <c r="S20" s="2"/>
      <c r="T20" s="5">
        <v>5</v>
      </c>
      <c r="U20" s="12">
        <v>72.400000000000006</v>
      </c>
      <c r="V20" s="55">
        <v>0.97712520000000003</v>
      </c>
      <c r="W20" s="25">
        <f t="shared" si="5"/>
        <v>74.094906159415402</v>
      </c>
      <c r="X20" s="6">
        <f t="shared" si="6"/>
        <v>70.933000000000007</v>
      </c>
      <c r="Y20" s="25">
        <f t="shared" si="7"/>
        <v>69.310421811600008</v>
      </c>
      <c r="Z20" s="48">
        <f t="shared" si="8"/>
        <v>1.0445759542020694</v>
      </c>
      <c r="AA20">
        <f t="shared" si="9"/>
        <v>1.0911389240971638</v>
      </c>
      <c r="AD20" s="16">
        <v>6</v>
      </c>
      <c r="AE20" s="51">
        <v>76.068100000000001</v>
      </c>
      <c r="AF20" s="12">
        <v>36</v>
      </c>
      <c r="AG20" s="22">
        <f t="shared" si="4"/>
        <v>456.40859999999998</v>
      </c>
      <c r="AI20" s="2"/>
      <c r="AJ20" s="51">
        <v>-15.2431</v>
      </c>
      <c r="AK20" s="2"/>
    </row>
    <row r="21" spans="1:51" ht="19.5" thickBot="1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S21" s="2"/>
      <c r="T21" s="5">
        <v>6</v>
      </c>
      <c r="U21" s="12">
        <v>74.8</v>
      </c>
      <c r="V21" s="56">
        <v>0.98333000000000004</v>
      </c>
      <c r="W21" s="25">
        <f t="shared" si="5"/>
        <v>76.068054467981241</v>
      </c>
      <c r="X21" s="6">
        <f t="shared" si="6"/>
        <v>71.61460000000001</v>
      </c>
      <c r="Y21" s="25">
        <f t="shared" si="7"/>
        <v>70.420784618000013</v>
      </c>
      <c r="Z21" s="48">
        <f t="shared" si="8"/>
        <v>1.0621864042804292</v>
      </c>
      <c r="AA21">
        <f t="shared" si="9"/>
        <v>1.1282399574381874</v>
      </c>
      <c r="AD21" s="16">
        <v>7</v>
      </c>
      <c r="AE21" s="51">
        <v>60.079500000000003</v>
      </c>
      <c r="AF21" s="12">
        <v>49</v>
      </c>
      <c r="AG21" s="22">
        <f t="shared" si="4"/>
        <v>420.55650000000003</v>
      </c>
      <c r="AI21" s="2"/>
      <c r="AJ21" s="51">
        <v>10.9048</v>
      </c>
      <c r="AK21" s="2"/>
    </row>
    <row r="22" spans="1:51" ht="19.5" thickBot="1">
      <c r="A22" s="1"/>
      <c r="B22" s="2"/>
      <c r="C22" s="2"/>
      <c r="D22" s="2"/>
      <c r="E22" s="2"/>
      <c r="F22" s="20">
        <v>-1.79583</v>
      </c>
      <c r="G22" s="21">
        <v>-1.32917</v>
      </c>
      <c r="H22" s="21">
        <v>1.2833330000000001</v>
      </c>
      <c r="I22" s="21">
        <v>1.8416669999999999</v>
      </c>
      <c r="J22" s="2">
        <f>SUM(F22,G22,H22,I22)</f>
        <v>0</v>
      </c>
      <c r="K22" s="2"/>
      <c r="L22" s="2"/>
      <c r="O22" s="39">
        <f>(16*10778.3)-(1235.8*136)</f>
        <v>4384</v>
      </c>
      <c r="P22">
        <f>O22/5440</f>
        <v>0.80588235294117649</v>
      </c>
      <c r="S22" s="2"/>
      <c r="T22" s="5">
        <v>7</v>
      </c>
      <c r="U22" s="12">
        <v>77.099999999999994</v>
      </c>
      <c r="V22" s="57">
        <v>1.2833000000000001</v>
      </c>
      <c r="W22" s="25">
        <f t="shared" si="5"/>
        <v>60.079482583963213</v>
      </c>
      <c r="X22" s="6">
        <f t="shared" si="6"/>
        <v>72.296199999999999</v>
      </c>
      <c r="Y22" s="25">
        <f t="shared" si="7"/>
        <v>92.777713460000001</v>
      </c>
      <c r="Z22" s="48">
        <f t="shared" si="8"/>
        <v>0.83101854017172705</v>
      </c>
      <c r="AA22">
        <f t="shared" si="9"/>
        <v>0.69059181410914827</v>
      </c>
      <c r="AD22" s="16">
        <v>8</v>
      </c>
      <c r="AE22" s="51">
        <v>78.906599999999997</v>
      </c>
      <c r="AF22" s="12">
        <v>64</v>
      </c>
      <c r="AG22" s="22">
        <f t="shared" si="4"/>
        <v>631.25279999999998</v>
      </c>
      <c r="AI22" s="2"/>
      <c r="AJ22" s="51">
        <v>5.141</v>
      </c>
      <c r="AK22" s="2"/>
    </row>
    <row r="23" spans="1:51" ht="19.5" thickBot="1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T23" s="5">
        <v>8</v>
      </c>
      <c r="U23" s="12">
        <v>80.2</v>
      </c>
      <c r="V23" s="56">
        <v>1.016392</v>
      </c>
      <c r="W23" s="25">
        <f t="shared" si="5"/>
        <v>78.906563609316095</v>
      </c>
      <c r="X23" s="6">
        <f t="shared" si="6"/>
        <v>72.977800000000002</v>
      </c>
      <c r="Y23" s="25">
        <f t="shared" si="7"/>
        <v>74.174052097599997</v>
      </c>
      <c r="Z23" s="48">
        <f t="shared" si="8"/>
        <v>1.0812406459130872</v>
      </c>
      <c r="AA23">
        <f t="shared" si="9"/>
        <v>1.1690813343745501</v>
      </c>
      <c r="AD23" s="16">
        <v>9</v>
      </c>
      <c r="AE23" s="51">
        <v>81.258799999999994</v>
      </c>
      <c r="AF23" s="12">
        <v>81</v>
      </c>
      <c r="AG23" s="22">
        <f t="shared" si="4"/>
        <v>731.3291999999999</v>
      </c>
      <c r="AI23" s="2"/>
      <c r="AJ23" s="51">
        <v>-2.1345999999999998</v>
      </c>
      <c r="AK23" s="2"/>
    </row>
    <row r="24" spans="1:51" ht="19.5" thickBo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T24" s="5">
        <v>9</v>
      </c>
      <c r="U24" s="12">
        <v>79.400000000000006</v>
      </c>
      <c r="V24" s="55">
        <v>0.97712520000000003</v>
      </c>
      <c r="W24" s="25">
        <f t="shared" si="5"/>
        <v>81.258778301900307</v>
      </c>
      <c r="X24" s="6">
        <f t="shared" si="6"/>
        <v>73.659400000000005</v>
      </c>
      <c r="Y24" s="25">
        <f t="shared" si="7"/>
        <v>71.974455956880007</v>
      </c>
      <c r="Z24" s="48">
        <f t="shared" si="8"/>
        <v>1.1031691583409626</v>
      </c>
      <c r="AA24">
        <f t="shared" si="9"/>
        <v>1.2169821919147079</v>
      </c>
      <c r="AD24" s="16">
        <v>10</v>
      </c>
      <c r="AE24" s="51">
        <v>79.830799999999996</v>
      </c>
      <c r="AF24" s="12">
        <v>100</v>
      </c>
      <c r="AG24" s="22">
        <f t="shared" si="4"/>
        <v>798.30799999999999</v>
      </c>
      <c r="AI24" s="2"/>
      <c r="AJ24" s="51">
        <v>0.99670000000000003</v>
      </c>
      <c r="AK24" s="2"/>
    </row>
    <row r="25" spans="1:51" ht="19.5" thickBo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T25" s="5">
        <v>10</v>
      </c>
      <c r="U25" s="12">
        <v>78.5</v>
      </c>
      <c r="V25" s="56">
        <v>0.98333000000000004</v>
      </c>
      <c r="W25" s="25">
        <f t="shared" si="5"/>
        <v>79.83077908738673</v>
      </c>
      <c r="X25" s="6">
        <f t="shared" si="6"/>
        <v>74.341000000000008</v>
      </c>
      <c r="Y25" s="25">
        <f t="shared" si="7"/>
        <v>73.101735530000013</v>
      </c>
      <c r="Z25" s="48">
        <f t="shared" si="8"/>
        <v>1.0738459139288781</v>
      </c>
      <c r="AA25">
        <f t="shared" si="9"/>
        <v>1.1531450468617475</v>
      </c>
      <c r="AD25" s="16">
        <v>11</v>
      </c>
      <c r="AE25" s="51">
        <v>65.300399999999996</v>
      </c>
      <c r="AF25" s="12">
        <v>121</v>
      </c>
      <c r="AG25" s="22">
        <f t="shared" si="4"/>
        <v>718.30439999999999</v>
      </c>
      <c r="AI25" s="2"/>
      <c r="AJ25" s="51">
        <v>-4.9307999999999996</v>
      </c>
      <c r="AK25" s="2"/>
    </row>
    <row r="26" spans="1:51" ht="19.5" thickBot="1">
      <c r="F26" s="2"/>
      <c r="G26" s="2"/>
      <c r="H26" s="40"/>
      <c r="I26" s="2"/>
      <c r="T26" s="5">
        <v>11</v>
      </c>
      <c r="U26" s="12">
        <v>83.8</v>
      </c>
      <c r="V26" s="57">
        <v>1.2833000000000001</v>
      </c>
      <c r="W26" s="25">
        <f t="shared" si="5"/>
        <v>65.300397412919807</v>
      </c>
      <c r="X26" s="6">
        <f t="shared" si="6"/>
        <v>75.022600000000011</v>
      </c>
      <c r="Y26" s="25">
        <f t="shared" si="7"/>
        <v>96.276502580000027</v>
      </c>
      <c r="Z26" s="48">
        <f t="shared" si="8"/>
        <v>0.87040968205473812</v>
      </c>
      <c r="AA26">
        <f t="shared" si="9"/>
        <v>0.75761301461463026</v>
      </c>
      <c r="AD26" s="16">
        <v>12</v>
      </c>
      <c r="AE26" s="51">
        <v>82.842100000000002</v>
      </c>
      <c r="AF26" s="12">
        <v>144</v>
      </c>
      <c r="AG26" s="22">
        <f t="shared" si="4"/>
        <v>994.10519999999997</v>
      </c>
      <c r="AI26" s="2"/>
      <c r="AJ26" s="51">
        <v>-6.5796999999999999</v>
      </c>
      <c r="AK26" s="2"/>
    </row>
    <row r="27" spans="1:51" ht="19.5" thickBot="1">
      <c r="F27" s="2"/>
      <c r="G27" s="2"/>
      <c r="H27" s="40"/>
      <c r="I27" s="2"/>
      <c r="T27" s="5">
        <v>12</v>
      </c>
      <c r="U27" s="12">
        <v>84.2</v>
      </c>
      <c r="V27" s="56">
        <v>1.016392</v>
      </c>
      <c r="W27" s="25">
        <f t="shared" si="5"/>
        <v>82.84205306613984</v>
      </c>
      <c r="X27" s="6">
        <f t="shared" si="6"/>
        <v>75.7042</v>
      </c>
      <c r="Y27" s="25">
        <f t="shared" si="7"/>
        <v>76.945143246399994</v>
      </c>
      <c r="Z27" s="48">
        <f t="shared" si="8"/>
        <v>1.0942860906810963</v>
      </c>
      <c r="AA27">
        <f t="shared" si="9"/>
        <v>1.1974620482581164</v>
      </c>
      <c r="AD27" s="16">
        <v>13</v>
      </c>
      <c r="AE27" s="51">
        <v>78.904899999999998</v>
      </c>
      <c r="AF27" s="12">
        <v>169</v>
      </c>
      <c r="AG27" s="22">
        <f t="shared" si="4"/>
        <v>1025.7637</v>
      </c>
      <c r="AI27" s="2"/>
      <c r="AJ27" s="51">
        <v>9.1819000000000006</v>
      </c>
      <c r="AK27" s="2"/>
    </row>
    <row r="28" spans="1:51" ht="19.5" thickBot="1">
      <c r="F28" s="2"/>
      <c r="G28" s="2"/>
      <c r="H28" s="40"/>
      <c r="I28" s="2"/>
      <c r="T28" s="5">
        <v>13</v>
      </c>
      <c r="U28" s="12">
        <v>77.099999999999994</v>
      </c>
      <c r="V28" s="55">
        <v>0.97712520000000003</v>
      </c>
      <c r="W28" s="25">
        <f t="shared" si="5"/>
        <v>78.904934597940979</v>
      </c>
      <c r="X28" s="6">
        <f t="shared" si="6"/>
        <v>76.385800000000003</v>
      </c>
      <c r="Y28" s="25">
        <f t="shared" si="7"/>
        <v>74.638490102160006</v>
      </c>
      <c r="Z28" s="48">
        <f t="shared" si="8"/>
        <v>1.0329790955641096</v>
      </c>
      <c r="AA28">
        <f t="shared" si="9"/>
        <v>1.067045811872446</v>
      </c>
      <c r="AD28" s="16">
        <v>14</v>
      </c>
      <c r="AE28" s="51">
        <v>80.644300000000001</v>
      </c>
      <c r="AF28" s="12">
        <v>196</v>
      </c>
      <c r="AG28" s="22">
        <f t="shared" si="4"/>
        <v>1129.0201999999999</v>
      </c>
      <c r="AI28" s="2"/>
      <c r="AJ28" s="51">
        <v>17.236499999999999</v>
      </c>
      <c r="AK28" s="2"/>
    </row>
    <row r="29" spans="1:51" ht="19.5" thickBot="1">
      <c r="F29" s="2"/>
      <c r="G29" s="2"/>
      <c r="H29" s="40"/>
      <c r="I29" s="2"/>
      <c r="T29" s="5">
        <v>14</v>
      </c>
      <c r="U29" s="12">
        <v>79.3</v>
      </c>
      <c r="V29" s="56">
        <v>0.98333000000000004</v>
      </c>
      <c r="W29" s="25">
        <f t="shared" si="5"/>
        <v>80.64434116725819</v>
      </c>
      <c r="X29" s="6">
        <f t="shared" si="6"/>
        <v>77.067400000000006</v>
      </c>
      <c r="Y29" s="25">
        <f t="shared" si="7"/>
        <v>75.782686442000013</v>
      </c>
      <c r="Z29" s="48">
        <f t="shared" si="8"/>
        <v>1.0464131548132956</v>
      </c>
      <c r="AA29">
        <f t="shared" si="9"/>
        <v>1.0949804905663141</v>
      </c>
      <c r="AD29" s="16">
        <v>15</v>
      </c>
      <c r="AE29" s="51">
        <v>63.586100000000002</v>
      </c>
      <c r="AF29" s="12">
        <v>225</v>
      </c>
      <c r="AG29" s="22">
        <f t="shared" si="4"/>
        <v>953.79150000000004</v>
      </c>
      <c r="AI29" s="2"/>
      <c r="AJ29" s="51">
        <v>-20.766500000000001</v>
      </c>
      <c r="AK29" s="2"/>
    </row>
    <row r="30" spans="1:51" ht="19.5" thickBot="1">
      <c r="F30" s="2"/>
      <c r="G30" s="2"/>
      <c r="H30" s="40"/>
      <c r="I30" s="2"/>
      <c r="T30" s="5">
        <v>15</v>
      </c>
      <c r="U30" s="12">
        <v>81.599999999999994</v>
      </c>
      <c r="V30" s="57">
        <v>1.2833000000000001</v>
      </c>
      <c r="W30" s="25">
        <f t="shared" si="5"/>
        <v>63.586067170575852</v>
      </c>
      <c r="X30" s="6">
        <f t="shared" si="6"/>
        <v>77.749000000000009</v>
      </c>
      <c r="Y30" s="25">
        <f t="shared" si="7"/>
        <v>99.775291700000025</v>
      </c>
      <c r="Z30" s="48">
        <f t="shared" si="8"/>
        <v>0.81783774930321729</v>
      </c>
      <c r="AA30">
        <f t="shared" si="9"/>
        <v>0.66885858418535205</v>
      </c>
      <c r="AD30" s="16">
        <v>16</v>
      </c>
      <c r="AE30" s="51">
        <v>81.464600000000004</v>
      </c>
      <c r="AF30" s="12">
        <v>256</v>
      </c>
      <c r="AG30" s="22">
        <f t="shared" si="4"/>
        <v>1303.4336000000001</v>
      </c>
      <c r="AI30" s="2"/>
      <c r="AJ30" s="51">
        <v>-18.3003</v>
      </c>
      <c r="AK30" s="2"/>
    </row>
    <row r="31" spans="1:51" ht="19.5" thickBot="1">
      <c r="F31" s="2"/>
      <c r="G31" s="2"/>
      <c r="H31" s="40"/>
      <c r="I31" s="2"/>
      <c r="J31">
        <f>70.3875+0.80588235*20</f>
        <v>86.505146999999994</v>
      </c>
      <c r="T31" s="5">
        <v>16</v>
      </c>
      <c r="U31" s="12">
        <v>82.8</v>
      </c>
      <c r="V31" s="56">
        <v>1.016392</v>
      </c>
      <c r="W31" s="25">
        <f t="shared" si="5"/>
        <v>81.464631756251521</v>
      </c>
      <c r="X31" s="6">
        <f t="shared" si="6"/>
        <v>78.430599999999998</v>
      </c>
      <c r="Y31" s="25">
        <f t="shared" si="7"/>
        <v>79.71623439519999</v>
      </c>
      <c r="Z31" s="48">
        <f t="shared" si="8"/>
        <v>1.0386842859324235</v>
      </c>
      <c r="AA31">
        <f t="shared" si="9"/>
        <v>1.0788650458429485</v>
      </c>
      <c r="AD31" s="16">
        <v>136</v>
      </c>
      <c r="AE31" s="38">
        <f>SUM(AE15,AE16,AE17,AE18,AE19,AE20,AE21,AE22,AE23,AE24,AE25,AE26,AE27,AE28,AE29,AE30)</f>
        <v>1173.1193999999998</v>
      </c>
      <c r="AF31" s="12">
        <f>SUM(AF15,AF16,AF17,AF18,AF19,AF20,AF21,AF22,AF23,AF24,AF25,AF26,AF27,AF28,AF29,AF30)</f>
        <v>1496</v>
      </c>
      <c r="AG31" s="22">
        <f>SUM(AG15:AG30)</f>
        <v>10203.9959</v>
      </c>
      <c r="AI31" s="2"/>
      <c r="AJ31" s="51">
        <v>20.4983</v>
      </c>
      <c r="AK31" s="2"/>
    </row>
    <row r="32" spans="1:51" ht="19.5" thickBot="1">
      <c r="F32" s="2"/>
      <c r="G32" s="2"/>
      <c r="H32" s="40"/>
      <c r="I32" s="2"/>
      <c r="AJ32" s="51">
        <v>33.476300000000002</v>
      </c>
    </row>
    <row r="33" spans="6:33" ht="15.75">
      <c r="F33" s="2"/>
      <c r="G33" s="2"/>
      <c r="H33" s="40"/>
      <c r="I33" s="2"/>
      <c r="AD33">
        <f xml:space="preserve"> (26.3*1496) -(136*973.09)</f>
        <v>-92995.439999999988</v>
      </c>
      <c r="AE33">
        <f>(16*973.09) - (26.3*136)</f>
        <v>11992.64</v>
      </c>
      <c r="AG33">
        <f>AD33/AD35</f>
        <v>-17.094749999999998</v>
      </c>
    </row>
    <row r="34" spans="6:33" ht="15.75">
      <c r="F34" s="2"/>
      <c r="G34" s="2"/>
      <c r="H34" s="40"/>
      <c r="I34" s="2"/>
      <c r="J34">
        <f>85.69926+ 1.283333</f>
        <v>86.982592999999994</v>
      </c>
      <c r="AG34">
        <f>AE33/AD35</f>
        <v>2.2045294117647058</v>
      </c>
    </row>
    <row r="35" spans="6:33" ht="15.75">
      <c r="F35" s="2"/>
      <c r="G35" s="2"/>
      <c r="H35" s="40"/>
      <c r="I35" s="2"/>
      <c r="AD35">
        <v>5440</v>
      </c>
    </row>
    <row r="36" spans="6:33" ht="15.75">
      <c r="F36" s="2"/>
      <c r="G36" s="2"/>
      <c r="H36" s="40"/>
      <c r="I36" s="2"/>
    </row>
    <row r="37" spans="6:33" ht="15.75">
      <c r="F37" s="2"/>
      <c r="G37" s="2"/>
      <c r="H37" s="40"/>
      <c r="I37" s="2"/>
      <c r="AD37">
        <f>(1173.1*1496) - (136*10203.1)</f>
        <v>367335.99999999977</v>
      </c>
      <c r="AG37">
        <f>AD37/AD35</f>
        <v>67.524999999999963</v>
      </c>
    </row>
    <row r="38" spans="6:33" ht="15.75">
      <c r="F38" s="2"/>
      <c r="G38" s="2"/>
      <c r="H38" s="40"/>
      <c r="I38" s="2"/>
      <c r="AG38" s="48">
        <f>AD38/AD35</f>
        <v>0</v>
      </c>
    </row>
    <row r="39" spans="6:33" ht="15.75">
      <c r="F39" s="2"/>
      <c r="G39" s="2"/>
      <c r="H39" s="40"/>
      <c r="I39" s="2"/>
    </row>
    <row r="40" spans="6:33" ht="15.75">
      <c r="F40" s="2"/>
      <c r="G40" s="2"/>
      <c r="H40" s="40"/>
      <c r="I40" s="2"/>
    </row>
    <row r="41" spans="6:33" ht="15.75">
      <c r="F41" s="2"/>
      <c r="G41" s="2"/>
      <c r="H41" s="40"/>
      <c r="I41" s="2"/>
    </row>
    <row r="42" spans="6:33">
      <c r="F42" s="2"/>
      <c r="G42" s="2"/>
      <c r="H42" s="2"/>
      <c r="I42" s="2"/>
    </row>
    <row r="43" spans="6:33" ht="15.75">
      <c r="H43" s="40">
        <v>68.2</v>
      </c>
      <c r="I43">
        <v>70.400000000000006</v>
      </c>
      <c r="J43">
        <v>72.8</v>
      </c>
      <c r="K43">
        <v>73.2</v>
      </c>
      <c r="L43">
        <v>72.400000000000006</v>
      </c>
      <c r="M43">
        <v>74.8</v>
      </c>
      <c r="N43">
        <v>77.099999999999994</v>
      </c>
      <c r="O43">
        <v>80.2</v>
      </c>
      <c r="P43">
        <v>79.400000000000006</v>
      </c>
      <c r="Q43">
        <v>78.5</v>
      </c>
      <c r="R43">
        <v>83.8</v>
      </c>
      <c r="S43">
        <v>84.2</v>
      </c>
      <c r="T43">
        <v>77.099999999999994</v>
      </c>
      <c r="U43">
        <v>79.3</v>
      </c>
      <c r="V43">
        <v>81.599999999999994</v>
      </c>
      <c r="W43">
        <v>82.8</v>
      </c>
    </row>
  </sheetData>
  <mergeCells count="12">
    <mergeCell ref="N3:Q3"/>
    <mergeCell ref="L4:L8"/>
    <mergeCell ref="M10:M11"/>
    <mergeCell ref="N10:N11"/>
    <mergeCell ref="O10:O11"/>
    <mergeCell ref="P10:P11"/>
    <mergeCell ref="Q10:Q11"/>
    <mergeCell ref="M12:M13"/>
    <mergeCell ref="N12:N13"/>
    <mergeCell ref="O12:O13"/>
    <mergeCell ref="P12:P13"/>
    <mergeCell ref="Q12:Q13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MEKI-62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Анна Таянова</dc:creator>
  <cp:lastModifiedBy>Анна Таянова</cp:lastModifiedBy>
  <dcterms:created xsi:type="dcterms:W3CDTF">2015-05-27T08:34:08Z</dcterms:created>
  <dcterms:modified xsi:type="dcterms:W3CDTF">2015-05-28T09:58:17Z</dcterms:modified>
</cp:coreProperties>
</file>