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куркино\"/>
    </mc:Choice>
  </mc:AlternateContent>
  <bookViews>
    <workbookView xWindow="0" yWindow="0" windowWidth="28800" windowHeight="12300"/>
  </bookViews>
  <sheets>
    <sheet name="Лист1" sheetId="1" r:id="rId1"/>
    <sheet name="Затраты на сети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G31" i="1" l="1"/>
  <c r="L24" i="1"/>
  <c r="Z14" i="1"/>
  <c r="AE14" i="1"/>
  <c r="D7" i="2" l="1"/>
  <c r="C7" i="2"/>
  <c r="L26" i="1"/>
  <c r="E16" i="1"/>
  <c r="D12" i="1"/>
  <c r="J18" i="1" l="1"/>
  <c r="J21" i="1" l="1"/>
  <c r="J20" i="1"/>
  <c r="J19" i="1"/>
  <c r="J16" i="1"/>
  <c r="AK32" i="1" l="1"/>
  <c r="V32" i="1"/>
  <c r="C4" i="2" s="1"/>
  <c r="D4" i="2" s="1"/>
  <c r="G30" i="1"/>
  <c r="V37" i="1" s="1"/>
  <c r="E30" i="1"/>
  <c r="AJ27" i="1"/>
  <c r="AJ26" i="1"/>
  <c r="AD26" i="1"/>
  <c r="AB26" i="1"/>
  <c r="Z26" i="1"/>
  <c r="O26" i="1"/>
  <c r="AJ25" i="1"/>
  <c r="O25" i="1"/>
  <c r="L25" i="1"/>
  <c r="AJ24" i="1"/>
  <c r="AD24" i="1"/>
  <c r="AB24" i="1"/>
  <c r="Z24" i="1"/>
  <c r="O24" i="1"/>
  <c r="AJ23" i="1"/>
  <c r="AD23" i="1"/>
  <c r="AB23" i="1"/>
  <c r="Z23" i="1"/>
  <c r="O23" i="1"/>
  <c r="L23" i="1"/>
  <c r="AJ22" i="1"/>
  <c r="AD22" i="1"/>
  <c r="AB22" i="1"/>
  <c r="Z22" i="1"/>
  <c r="O22" i="1"/>
  <c r="L22" i="1"/>
  <c r="AJ21" i="1"/>
  <c r="AD21" i="1"/>
  <c r="AB21" i="1"/>
  <c r="Z21" i="1"/>
  <c r="AE21" i="1" s="1"/>
  <c r="AF21" i="1" s="1"/>
  <c r="AJ20" i="1"/>
  <c r="AD20" i="1"/>
  <c r="AB20" i="1"/>
  <c r="Z20" i="1"/>
  <c r="O20" i="1"/>
  <c r="L20" i="1"/>
  <c r="AJ19" i="1"/>
  <c r="AD19" i="1"/>
  <c r="AB19" i="1"/>
  <c r="Z19" i="1"/>
  <c r="L19" i="1"/>
  <c r="AJ18" i="1"/>
  <c r="AD18" i="1"/>
  <c r="AB18" i="1"/>
  <c r="Z18" i="1"/>
  <c r="O18" i="1"/>
  <c r="AJ17" i="1"/>
  <c r="AB17" i="1"/>
  <c r="AE17" i="1" s="1"/>
  <c r="AF17" i="1" s="1"/>
  <c r="AJ16" i="1"/>
  <c r="AD16" i="1"/>
  <c r="AB16" i="1"/>
  <c r="Z16" i="1"/>
  <c r="O16" i="1"/>
  <c r="L16" i="1"/>
  <c r="AJ15" i="1"/>
  <c r="AJ14" i="1"/>
  <c r="AD14" i="1"/>
  <c r="O14" i="1"/>
  <c r="AJ13" i="1"/>
  <c r="B13" i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U32" i="1"/>
  <c r="AJ10" i="1"/>
  <c r="X10" i="1"/>
  <c r="Y10" i="1" s="1"/>
  <c r="Z10" i="1" s="1"/>
  <c r="AA10" i="1" s="1"/>
  <c r="AB10" i="1" s="1"/>
  <c r="AC10" i="1" s="1"/>
  <c r="AD10" i="1" s="1"/>
  <c r="AE10" i="1" s="1"/>
  <c r="AF10" i="1" s="1"/>
  <c r="AG10" i="1" s="1"/>
  <c r="AH10" i="1" s="1"/>
  <c r="T10" i="1"/>
  <c r="U10" i="1" s="1"/>
  <c r="D10" i="1"/>
  <c r="E10" i="1" s="1"/>
  <c r="F10" i="1" s="1"/>
  <c r="G10" i="1" s="1"/>
  <c r="H10" i="1" s="1"/>
  <c r="I10" i="1" s="1"/>
  <c r="J10" i="1" s="1"/>
  <c r="K10" i="1" s="1"/>
  <c r="L10" i="1" s="1"/>
  <c r="M10" i="1" s="1"/>
  <c r="N10" i="1" s="1"/>
  <c r="O10" i="1" s="1"/>
  <c r="P10" i="1" s="1"/>
  <c r="AE19" i="1" l="1"/>
  <c r="AF19" i="1" s="1"/>
  <c r="AE23" i="1"/>
  <c r="AF23" i="1" s="1"/>
  <c r="AE26" i="1"/>
  <c r="AF26" i="1" s="1"/>
  <c r="U37" i="1"/>
  <c r="AD30" i="1"/>
  <c r="AD34" i="1" s="1"/>
  <c r="AL37" i="1"/>
  <c r="Z30" i="1"/>
  <c r="Z35" i="1" s="1"/>
  <c r="AE16" i="1"/>
  <c r="AF16" i="1" s="1"/>
  <c r="AE22" i="1"/>
  <c r="AF22" i="1" s="1"/>
  <c r="AK37" i="1"/>
  <c r="AE20" i="1"/>
  <c r="AF20" i="1" s="1"/>
  <c r="AE24" i="1"/>
  <c r="AE18" i="1"/>
  <c r="AF18" i="1" s="1"/>
  <c r="S30" i="1"/>
  <c r="S31" i="1" s="1"/>
  <c r="S37" i="1" s="1"/>
  <c r="R30" i="1"/>
  <c r="T31" i="1" s="1"/>
  <c r="T37" i="1" s="1"/>
  <c r="AH32" i="1"/>
  <c r="AH37" i="1" s="1"/>
  <c r="L14" i="1"/>
  <c r="O19" i="1"/>
  <c r="N32" i="1"/>
  <c r="N37" i="1" s="1"/>
  <c r="L18" i="1"/>
  <c r="P32" i="1"/>
  <c r="P37" i="1" s="1"/>
  <c r="AB30" i="1"/>
  <c r="Q31" i="1"/>
  <c r="Q37" i="1" s="1"/>
  <c r="AF24" i="1" l="1"/>
  <c r="AE30" i="1"/>
  <c r="AG30" i="1" s="1"/>
  <c r="L34" i="1"/>
  <c r="AD35" i="1"/>
  <c r="Z34" i="1"/>
  <c r="AF14" i="1"/>
  <c r="AB34" i="1"/>
  <c r="AB35" i="1"/>
  <c r="O30" i="1" l="1"/>
  <c r="L35" i="1"/>
  <c r="L40" i="1" s="1"/>
  <c r="L31" i="1"/>
  <c r="M30" i="1"/>
  <c r="AE35" i="1"/>
  <c r="AE40" i="1" s="1"/>
  <c r="AE34" i="1"/>
  <c r="AE31" i="1"/>
  <c r="AE37" i="1" s="1"/>
  <c r="X30" i="1"/>
  <c r="X31" i="1" s="1"/>
  <c r="X37" i="1" s="1"/>
  <c r="O35" i="1"/>
  <c r="O40" i="1" s="1"/>
  <c r="O31" i="1"/>
  <c r="W30" i="1"/>
  <c r="W31" i="1" s="1"/>
  <c r="W37" i="1" s="1"/>
  <c r="O34" i="1"/>
  <c r="M31" i="1"/>
  <c r="M37" i="1" s="1"/>
  <c r="L37" i="1" l="1"/>
  <c r="C2" i="2"/>
  <c r="O37" i="1"/>
  <c r="C3" i="2"/>
  <c r="D3" i="2" s="1"/>
  <c r="AJ29" i="1"/>
  <c r="AJ31" i="1" s="1"/>
  <c r="AG35" i="1"/>
  <c r="AF30" i="1"/>
  <c r="AG34" i="1"/>
  <c r="AG37" i="1"/>
  <c r="AJ37" i="1" l="1"/>
  <c r="C6" i="2"/>
  <c r="D6" i="2" s="1"/>
  <c r="D2" i="2"/>
  <c r="AJ34" i="1"/>
  <c r="AJ35" i="1"/>
  <c r="AJ40" i="1" s="1"/>
  <c r="AF34" i="1"/>
  <c r="AF31" i="1"/>
  <c r="AF35" i="1"/>
  <c r="AF37" i="1" l="1"/>
  <c r="H37" i="1" s="1"/>
  <c r="C5" i="2"/>
  <c r="L54" i="1"/>
  <c r="D5" i="2" l="1"/>
  <c r="D8" i="2" s="1"/>
  <c r="C8" i="2"/>
</calcChain>
</file>

<file path=xl/sharedStrings.xml><?xml version="1.0" encoding="utf-8"?>
<sst xmlns="http://schemas.openxmlformats.org/spreadsheetml/2006/main" count="115" uniqueCount="108">
  <si>
    <t>№ поз.</t>
  </si>
  <si>
    <t>Вид/Наименование объекта строительства</t>
  </si>
  <si>
    <t>Показатели площади</t>
  </si>
  <si>
    <t>Показатели вместимости объектов</t>
  </si>
  <si>
    <t>Расчет тепловой нагрузки СП 124.13330.2012</t>
  </si>
  <si>
    <r>
      <t>Расход природного газа м</t>
    </r>
    <r>
      <rPr>
        <sz val="10"/>
        <color indexed="8"/>
        <rFont val="Calibri"/>
        <family val="2"/>
        <charset val="204"/>
      </rPr>
      <t>³</t>
    </r>
    <r>
      <rPr>
        <sz val="11"/>
        <color indexed="8"/>
        <rFont val="Calibri"/>
        <family val="2"/>
        <charset val="204"/>
      </rPr>
      <t>/ч</t>
    </r>
  </si>
  <si>
    <t>Котельная Гкал/ч</t>
  </si>
  <si>
    <t>Расчет  электрической нагрузки по  СП 256.1325800.2016 и РД 34.20.185-94</t>
  </si>
  <si>
    <t>Внутриплощадочные сети связи (при обязательствах в строительстве)</t>
  </si>
  <si>
    <t>Общая площадь земельного участка, Га (с вычетом УДС)</t>
  </si>
  <si>
    <t>Общая площадь (м2)</t>
  </si>
  <si>
    <t>Общая площадь земельного участка, Га</t>
  </si>
  <si>
    <r>
      <t>Продаваемая площадь (м</t>
    </r>
    <r>
      <rPr>
        <sz val="10"/>
        <color indexed="8"/>
        <rFont val="Calibri"/>
        <family val="2"/>
        <charset val="204"/>
      </rPr>
      <t>²</t>
    </r>
    <r>
      <rPr>
        <sz val="11"/>
        <color indexed="8"/>
        <rFont val="Calibri"/>
        <family val="2"/>
        <charset val="204"/>
      </rPr>
      <t>)</t>
    </r>
  </si>
  <si>
    <t>Норма площади на человека, машино-место,м2</t>
  </si>
  <si>
    <t>Количество квартир</t>
  </si>
  <si>
    <t>Количество жителей./машин/посещений в смену</t>
  </si>
  <si>
    <t>Удельные нормы расхода воды, л/сут.</t>
  </si>
  <si>
    <r>
      <t>Водопровод, м</t>
    </r>
    <r>
      <rPr>
        <sz val="10"/>
        <color indexed="8"/>
        <rFont val="Calibri"/>
        <family val="2"/>
        <charset val="204"/>
      </rPr>
      <t>³</t>
    </r>
    <r>
      <rPr>
        <sz val="10"/>
        <color indexed="8"/>
        <rFont val="Calibri"/>
        <family val="2"/>
        <charset val="204"/>
      </rPr>
      <t>/сут</t>
    </r>
  </si>
  <si>
    <r>
      <t>ВЗУ, м</t>
    </r>
    <r>
      <rPr>
        <sz val="10"/>
        <color indexed="8"/>
        <rFont val="Calibri"/>
        <family val="2"/>
        <charset val="204"/>
      </rPr>
      <t>³/сут</t>
    </r>
  </si>
  <si>
    <t>Внутриплощадочные сети водопровода</t>
  </si>
  <si>
    <t>Канализация, м3/сут</t>
  </si>
  <si>
    <t>Внутриплощадочные сети канализации</t>
  </si>
  <si>
    <t>Водосток (с коэффициентом заполнения свободной емкости трубы 0,65), л/сек</t>
  </si>
  <si>
    <t>ЛОС накопительного типа (с обводной линией), м³/сут</t>
  </si>
  <si>
    <t>ЛНС, л/сек</t>
  </si>
  <si>
    <t>Внутриплощадочные сети водостока</t>
  </si>
  <si>
    <t>Внеплощадочные сети водостока/канализации,метров.</t>
  </si>
  <si>
    <t>КОС, м³/сут</t>
  </si>
  <si>
    <t>КНС, м³/сут</t>
  </si>
  <si>
    <t xml:space="preserve">Отопление </t>
  </si>
  <si>
    <t>Вентиляция</t>
  </si>
  <si>
    <t>ГВС</t>
  </si>
  <si>
    <t>ВСЕГО, Гкал/ч</t>
  </si>
  <si>
    <t>Удельная электрическая нагрузка Вт/м2, Вт/место</t>
  </si>
  <si>
    <t>Электрическая нагрузка на шинах ТП (кВт)</t>
  </si>
  <si>
    <r>
      <t>Удельная тепловая нагрузка Вт/м</t>
    </r>
    <r>
      <rPr>
        <sz val="10"/>
        <color indexed="8"/>
        <rFont val="Calibri"/>
        <family val="2"/>
        <charset val="204"/>
      </rPr>
      <t>²</t>
    </r>
  </si>
  <si>
    <t>Тепловая нагрузка Отопление Гкал/ч</t>
  </si>
  <si>
    <t>Тепловая нагрузка Вентиляция Гкал/ч</t>
  </si>
  <si>
    <t xml:space="preserve">Нагрузки энергопотребления и ресурсов для получения технических условий на присоединение </t>
  </si>
  <si>
    <t>Площадь ЗУ (Га)</t>
  </si>
  <si>
    <t xml:space="preserve">Жилые дома </t>
  </si>
  <si>
    <t>Кондиционирование в т.ч.</t>
  </si>
  <si>
    <t>БКФН</t>
  </si>
  <si>
    <t>Кладовые</t>
  </si>
  <si>
    <t>Офисы (БЦ)</t>
  </si>
  <si>
    <t>Торговый центр</t>
  </si>
  <si>
    <t>ФОК с бассейном</t>
  </si>
  <si>
    <t>ФОК без бассейна</t>
  </si>
  <si>
    <t>Подземный паркинг</t>
  </si>
  <si>
    <t>Наземный паркинг</t>
  </si>
  <si>
    <t>Поликлиника</t>
  </si>
  <si>
    <t>Наружное освещение</t>
  </si>
  <si>
    <t>Субабоненты (существ.)</t>
  </si>
  <si>
    <t>Инженерные сооружения (КНС, Котельная и т.д.)</t>
  </si>
  <si>
    <t>ИТОГО:</t>
  </si>
  <si>
    <t>Стоимость подключения</t>
  </si>
  <si>
    <t>Еденицы изм.</t>
  </si>
  <si>
    <r>
      <t>м</t>
    </r>
    <r>
      <rPr>
        <sz val="10"/>
        <color indexed="8"/>
        <rFont val="Calibri"/>
        <family val="2"/>
        <charset val="204"/>
      </rPr>
      <t>³</t>
    </r>
    <r>
      <rPr>
        <sz val="11"/>
        <color indexed="8"/>
        <rFont val="Calibri"/>
        <family val="2"/>
        <charset val="204"/>
      </rPr>
      <t>/сут</t>
    </r>
  </si>
  <si>
    <t>Вт</t>
  </si>
  <si>
    <r>
      <t>м</t>
    </r>
    <r>
      <rPr>
        <sz val="10"/>
        <color indexed="8"/>
        <rFont val="Calibri"/>
        <family val="2"/>
        <charset val="204"/>
      </rPr>
      <t>³</t>
    </r>
    <r>
      <rPr>
        <sz val="11"/>
        <color indexed="8"/>
        <rFont val="Calibri"/>
        <family val="2"/>
        <charset val="204"/>
      </rPr>
      <t>/ч</t>
    </r>
  </si>
  <si>
    <r>
      <t>Удельная нагрузка на 1 м</t>
    </r>
    <r>
      <rPr>
        <sz val="10"/>
        <color indexed="8"/>
        <rFont val="Calibri"/>
        <family val="2"/>
        <charset val="204"/>
      </rPr>
      <t>² (общей площади)</t>
    </r>
  </si>
  <si>
    <t>С головными сооружениями</t>
  </si>
  <si>
    <t xml:space="preserve">Без головных сооружений </t>
  </si>
  <si>
    <r>
      <t>Удельная нагрузка на 1 м</t>
    </r>
    <r>
      <rPr>
        <sz val="10"/>
        <color indexed="8"/>
        <rFont val="Calibri"/>
        <family val="2"/>
        <charset val="204"/>
      </rPr>
      <t xml:space="preserve">² продоваемой площади по </t>
    </r>
    <r>
      <rPr>
        <b/>
        <sz val="10"/>
        <color indexed="8"/>
        <rFont val="Calibri"/>
        <family val="2"/>
        <charset val="204"/>
      </rPr>
      <t>расчету</t>
    </r>
    <r>
      <rPr>
        <sz val="10"/>
        <color indexed="8"/>
        <rFont val="Calibri"/>
        <family val="2"/>
        <charset val="204"/>
      </rPr>
      <t xml:space="preserve"> (Гкал/м2, Вт/м2,м3/сут/м2)</t>
    </r>
  </si>
  <si>
    <t>Примечание: Расчет электрических нагрузок приведен на шины ТП.</t>
  </si>
  <si>
    <t>Предварительный расчет нагрузок жилой застройки</t>
  </si>
  <si>
    <t xml:space="preserve">ДОУ </t>
  </si>
  <si>
    <t>Водосток</t>
  </si>
  <si>
    <t xml:space="preserve">Примечание УИС: </t>
  </si>
  <si>
    <t>1. Подключение по инженерке по договорам ТП.</t>
  </si>
  <si>
    <r>
      <t>Удельная нагрузка на 1 м</t>
    </r>
    <r>
      <rPr>
        <sz val="10"/>
        <color indexed="8"/>
        <rFont val="Calibri"/>
        <family val="2"/>
        <charset val="204"/>
      </rPr>
      <t>² (продаваемой площади)</t>
    </r>
  </si>
  <si>
    <t>Стоимость подключения на 1 м²  продаваемой площади</t>
  </si>
  <si>
    <t>-</t>
  </si>
  <si>
    <r>
      <t>Удельная нагрузка на 1 м</t>
    </r>
    <r>
      <rPr>
        <sz val="10"/>
        <color indexed="8"/>
        <rFont val="Calibri"/>
        <family val="2"/>
        <charset val="204"/>
      </rPr>
      <t xml:space="preserve">² продоваемой площади по </t>
    </r>
    <r>
      <rPr>
        <b/>
        <sz val="10"/>
        <color indexed="8"/>
        <rFont val="Calibri"/>
        <family val="2"/>
        <charset val="204"/>
      </rPr>
      <t>стандарту</t>
    </r>
    <r>
      <rPr>
        <sz val="10"/>
        <color indexed="8"/>
        <rFont val="Calibri"/>
        <family val="2"/>
        <charset val="204"/>
      </rPr>
      <t xml:space="preserve"> </t>
    </r>
  </si>
  <si>
    <t>Расчет нагрузок водопровода и канализации по СП.30.13330.2020</t>
  </si>
  <si>
    <t xml:space="preserve">Ориентировочный расчет стоимости демонтируемых/ выносимых сетей
</t>
  </si>
  <si>
    <t>Электроснабжение</t>
  </si>
  <si>
    <t>Водоснабжение / водоотведение</t>
  </si>
  <si>
    <t>Сети связи</t>
  </si>
  <si>
    <t>2. Кол-во жителей определено исходя из обеспеченности 28 м2/чел.</t>
  </si>
  <si>
    <t>Сеть</t>
  </si>
  <si>
    <t>Стоимость, руб.</t>
  </si>
  <si>
    <t>Примечание</t>
  </si>
  <si>
    <t>4. Примечания по демонтируемым/выносимым сетям см. табл. Ориентировочный расчет стоимости демонтируемых/ выносимых сетей.</t>
  </si>
  <si>
    <t>Внутриплощадочные тепловые сети из расчета 7 млн. руб/га</t>
  </si>
  <si>
    <t>3. Расчет стоимости  подключения СС учтен и составляет - 15 млн. руб.. В БКФН и в офисах (БЦ) число работающих исходя из 4,5 м2/чел.</t>
  </si>
  <si>
    <t>Внутриплощадочные сети наружного освещения</t>
  </si>
  <si>
    <t>Стоимость строительства внутриплощадочных сетй (канализация 3,22 млн.руб/Га, водопровод 6,3 млн.руб/Га, водосток 7 млн.руб/Га, тепловые сети 7 млн.руб/Га, сети связи 4,06 млн.руб/Га, сети НО 4,8 млн. руб/га)</t>
  </si>
  <si>
    <r>
      <t>Удельная тепловая макс. нагрузка Вт/м</t>
    </r>
    <r>
      <rPr>
        <sz val="10"/>
        <color indexed="8"/>
        <rFont val="Calibri"/>
        <family val="2"/>
        <charset val="204"/>
      </rPr>
      <t>²</t>
    </r>
  </si>
  <si>
    <r>
      <t>Тепловая нагрузка ГВС макс.часовая</t>
    </r>
    <r>
      <rPr>
        <b/>
        <sz val="10"/>
        <color indexed="8"/>
        <rFont val="Calibri"/>
        <family val="2"/>
        <charset val="204"/>
      </rPr>
      <t xml:space="preserve"> </t>
    </r>
    <r>
      <rPr>
        <sz val="10"/>
        <color indexed="8"/>
        <rFont val="Calibri"/>
        <family val="2"/>
        <charset val="204"/>
      </rPr>
      <t>Гкал/ч</t>
    </r>
  </si>
  <si>
    <t>Представлен расчет выноса, ликвидации, СКП сущ. НСС.</t>
  </si>
  <si>
    <t>Вар. 6</t>
  </si>
  <si>
    <t>Куркино</t>
  </si>
  <si>
    <t>№</t>
  </si>
  <si>
    <t>Водоснабжение</t>
  </si>
  <si>
    <t>Канализация хоз.быт</t>
  </si>
  <si>
    <t>сети</t>
  </si>
  <si>
    <t>Ливневая канализация</t>
  </si>
  <si>
    <t>Теплоснабжение</t>
  </si>
  <si>
    <t>Элетроснабжение</t>
  </si>
  <si>
    <t>СС</t>
  </si>
  <si>
    <t>К=1,25</t>
  </si>
  <si>
    <t>МОП 1эт+ вспомогтельн</t>
  </si>
  <si>
    <t>6. Стоимость ликвидации существующих сетей собственника в расчёт не включена.</t>
  </si>
  <si>
    <t xml:space="preserve">Стоимость выноса 10 питающих кабелей 104 тысячи руб за один 1 метр (L=100м) 104тыс. руб.х100м=10,4 млн.руб.
</t>
  </si>
  <si>
    <r>
      <rPr>
        <b/>
        <sz val="11"/>
        <color theme="1"/>
        <rFont val="Times New Roman"/>
        <family val="1"/>
        <charset val="204"/>
      </rPr>
      <t>Сеть В1</t>
    </r>
    <r>
      <rPr>
        <sz val="11"/>
        <color theme="1"/>
        <rFont val="Times New Roman"/>
        <family val="1"/>
        <charset val="204"/>
      </rPr>
      <t xml:space="preserve">: </t>
    </r>
    <r>
      <rPr>
        <sz val="11"/>
        <rFont val="Times New Roman"/>
        <family val="1"/>
        <charset val="204"/>
      </rPr>
      <t>1. По территории проложена сеть В1, со стороны МКАД вдоль участка. 2 х ДУ, Lобщ = 250 м. (необходимо предусмотреть мероприятия по перекладке).</t>
    </r>
    <r>
      <rPr>
        <sz val="11"/>
        <color theme="1"/>
        <rFont val="Times New Roman"/>
        <family val="1"/>
        <charset val="204"/>
      </rPr>
      <t xml:space="preserve"> </t>
    </r>
    <r>
      <rPr>
        <sz val="11"/>
        <color theme="1"/>
        <rFont val="Times New Roman"/>
        <family val="1"/>
        <charset val="204"/>
      </rPr>
      <t xml:space="preserve">
</t>
    </r>
  </si>
  <si>
    <t>затраты К=1</t>
  </si>
  <si>
    <t xml:space="preserve">ИТОГО (из ТУ):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</si>
</sst>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64" formatCode="0.000"/>
    <numFmt numFmtId="165" formatCode="#,##0.00&quot;р.&quot;"/>
    <numFmt numFmtId="166" formatCode="0.0000"/>
    <numFmt numFmtId="167" formatCode="0.0"/>
    <numFmt numFmtId="168" formatCode="#,##0&quot;р.&quot;"/>
    <numFmt numFmtId="169" formatCode="0.000000"/>
    <numFmt numFmtId="170" formatCode="#,##0.0"/>
    <numFmt numFmtId="171" formatCode="#,##0.00\ &quot;₽&quot;"/>
  </numFmts>
  <fonts count="20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u/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0"/>
      <color theme="1"/>
      <name val="Calibri"/>
      <family val="2"/>
      <charset val="204"/>
    </font>
    <font>
      <b/>
      <sz val="10"/>
      <color indexed="8"/>
      <name val="Calibri"/>
      <family val="2"/>
      <charset val="204"/>
    </font>
    <font>
      <b/>
      <u/>
      <sz val="10"/>
      <color theme="0"/>
      <name val="Calibri"/>
      <family val="2"/>
      <charset val="204"/>
      <scheme val="minor"/>
    </font>
    <font>
      <u/>
      <sz val="10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color theme="0"/>
      <name val="Calibri"/>
      <family val="2"/>
      <charset val="204"/>
      <scheme val="minor"/>
    </font>
    <font>
      <sz val="10"/>
      <color theme="0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2" tint="-9.9948118533890809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6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346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 vertical="center" wrapText="1"/>
    </xf>
    <xf numFmtId="0" fontId="2" fillId="2" borderId="33" xfId="0" applyFont="1" applyFill="1" applyBorder="1" applyAlignment="1">
      <alignment horizontal="center" vertical="center" textRotation="90" wrapText="1" shrinkToFit="1"/>
    </xf>
    <xf numFmtId="0" fontId="4" fillId="2" borderId="38" xfId="0" applyFont="1" applyFill="1" applyBorder="1" applyAlignment="1">
      <alignment horizontal="center" vertical="center" wrapText="1" shrinkToFit="1"/>
    </xf>
    <xf numFmtId="0" fontId="4" fillId="2" borderId="39" xfId="0" applyFont="1" applyFill="1" applyBorder="1" applyAlignment="1">
      <alignment horizontal="center" vertical="center" wrapText="1" shrinkToFit="1"/>
    </xf>
    <xf numFmtId="0" fontId="4" fillId="2" borderId="40" xfId="0" applyFont="1" applyFill="1" applyBorder="1" applyAlignment="1">
      <alignment horizontal="center" vertical="center" wrapText="1" shrinkToFit="1"/>
    </xf>
    <xf numFmtId="0" fontId="4" fillId="2" borderId="41" xfId="0" applyFont="1" applyFill="1" applyBorder="1" applyAlignment="1">
      <alignment horizontal="center" vertical="center" wrapText="1" shrinkToFit="1"/>
    </xf>
    <xf numFmtId="0" fontId="4" fillId="2" borderId="42" xfId="0" applyFont="1" applyFill="1" applyBorder="1" applyAlignment="1">
      <alignment horizontal="center" vertical="center" wrapText="1" shrinkToFit="1"/>
    </xf>
    <xf numFmtId="0" fontId="4" fillId="2" borderId="43" xfId="0" applyFont="1" applyFill="1" applyBorder="1" applyAlignment="1">
      <alignment horizontal="center" vertical="center" wrapText="1" shrinkToFit="1"/>
    </xf>
    <xf numFmtId="0" fontId="4" fillId="2" borderId="44" xfId="0" applyFont="1" applyFill="1" applyBorder="1" applyAlignment="1">
      <alignment horizontal="center" vertical="center" wrapText="1" shrinkToFit="1"/>
    </xf>
    <xf numFmtId="0" fontId="4" fillId="2" borderId="35" xfId="0" applyFont="1" applyFill="1" applyBorder="1" applyAlignment="1">
      <alignment horizontal="center" vertical="center" wrapText="1" shrinkToFit="1"/>
    </xf>
    <xf numFmtId="0" fontId="2" fillId="0" borderId="26" xfId="0" applyFont="1" applyBorder="1" applyAlignment="1">
      <alignment horizontal="left" vertical="center" wrapText="1" shrinkToFit="1"/>
    </xf>
    <xf numFmtId="2" fontId="4" fillId="3" borderId="25" xfId="0" applyNumberFormat="1" applyFont="1" applyFill="1" applyBorder="1" applyAlignment="1">
      <alignment horizontal="center" vertical="center" wrapText="1"/>
    </xf>
    <xf numFmtId="0" fontId="4" fillId="0" borderId="46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wrapText="1" shrinkToFit="1"/>
    </xf>
    <xf numFmtId="0" fontId="4" fillId="0" borderId="8" xfId="0" applyFont="1" applyBorder="1" applyAlignment="1">
      <alignment horizontal="center" vertical="center" wrapText="1" shrinkToFit="1"/>
    </xf>
    <xf numFmtId="0" fontId="4" fillId="0" borderId="27" xfId="0" applyFont="1" applyBorder="1" applyAlignment="1">
      <alignment horizontal="center" vertical="center" wrapText="1" shrinkToFit="1"/>
    </xf>
    <xf numFmtId="0" fontId="4" fillId="0" borderId="48" xfId="0" applyFont="1" applyBorder="1" applyAlignment="1">
      <alignment horizontal="center" vertical="center" wrapText="1" shrinkToFi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47" xfId="0" applyFont="1" applyBorder="1" applyAlignment="1">
      <alignment horizontal="center" vertical="center" wrapText="1" shrinkToFit="1"/>
    </xf>
    <xf numFmtId="0" fontId="4" fillId="0" borderId="49" xfId="0" applyFont="1" applyBorder="1" applyAlignment="1">
      <alignment horizontal="center" vertical="center" wrapText="1" shrinkToFit="1"/>
    </xf>
    <xf numFmtId="0" fontId="0" fillId="0" borderId="49" xfId="0" applyBorder="1" applyAlignment="1">
      <alignment horizontal="center" vertical="center"/>
    </xf>
    <xf numFmtId="0" fontId="2" fillId="0" borderId="35" xfId="0" applyFont="1" applyBorder="1" applyAlignment="1">
      <alignment horizontal="left" wrapText="1" shrinkToFit="1"/>
    </xf>
    <xf numFmtId="0" fontId="2" fillId="0" borderId="46" xfId="0" applyFont="1" applyBorder="1" applyAlignment="1">
      <alignment horizontal="center" vertical="center" wrapText="1" shrinkToFit="1"/>
    </xf>
    <xf numFmtId="3" fontId="2" fillId="3" borderId="50" xfId="0" applyNumberFormat="1" applyFont="1" applyFill="1" applyBorder="1" applyAlignment="1">
      <alignment horizontal="center" vertical="center" wrapText="1" shrinkToFit="1"/>
    </xf>
    <xf numFmtId="4" fontId="2" fillId="3" borderId="46" xfId="0" applyNumberFormat="1" applyFont="1" applyFill="1" applyBorder="1" applyAlignment="1">
      <alignment horizontal="center" vertical="center" wrapText="1" shrinkToFit="1"/>
    </xf>
    <xf numFmtId="3" fontId="2" fillId="3" borderId="26" xfId="0" applyNumberFormat="1" applyFont="1" applyFill="1" applyBorder="1" applyAlignment="1">
      <alignment horizontal="center" vertical="center" wrapText="1" shrinkToFit="1"/>
    </xf>
    <xf numFmtId="3" fontId="2" fillId="3" borderId="25" xfId="0" applyNumberFormat="1" applyFont="1" applyFill="1" applyBorder="1" applyAlignment="1">
      <alignment horizontal="center" vertical="center" wrapText="1" shrinkToFit="1"/>
    </xf>
    <xf numFmtId="3" fontId="2" fillId="3" borderId="49" xfId="0" applyNumberFormat="1" applyFont="1" applyFill="1" applyBorder="1" applyAlignment="1">
      <alignment horizontal="center" vertical="center" wrapText="1" shrinkToFit="1"/>
    </xf>
    <xf numFmtId="0" fontId="2" fillId="3" borderId="25" xfId="0" applyFont="1" applyFill="1" applyBorder="1" applyAlignment="1">
      <alignment horizontal="center" vertical="center" wrapText="1"/>
    </xf>
    <xf numFmtId="2" fontId="4" fillId="0" borderId="47" xfId="0" applyNumberFormat="1" applyFont="1" applyBorder="1" applyAlignment="1">
      <alignment horizontal="center" vertical="center" wrapText="1" shrinkToFit="1"/>
    </xf>
    <xf numFmtId="2" fontId="4" fillId="0" borderId="26" xfId="0" applyNumberFormat="1" applyFont="1" applyBorder="1" applyAlignment="1">
      <alignment horizontal="center" vertical="center" wrapText="1" shrinkToFit="1"/>
    </xf>
    <xf numFmtId="2" fontId="4" fillId="0" borderId="51" xfId="0" applyNumberFormat="1" applyFont="1" applyBorder="1" applyAlignment="1">
      <alignment horizontal="center" vertical="center" wrapText="1" shrinkToFit="1"/>
    </xf>
    <xf numFmtId="2" fontId="4" fillId="0" borderId="50" xfId="0" applyNumberFormat="1" applyFont="1" applyBorder="1" applyAlignment="1">
      <alignment horizontal="center" vertical="center" wrapText="1" shrinkToFit="1"/>
    </xf>
    <xf numFmtId="164" fontId="4" fillId="3" borderId="47" xfId="0" applyNumberFormat="1" applyFont="1" applyFill="1" applyBorder="1" applyAlignment="1">
      <alignment horizontal="center" vertical="center" wrapText="1"/>
    </xf>
    <xf numFmtId="164" fontId="3" fillId="0" borderId="28" xfId="0" applyNumberFormat="1" applyFont="1" applyBorder="1" applyAlignment="1">
      <alignment horizontal="center" vertical="center" wrapText="1" shrinkToFit="1"/>
    </xf>
    <xf numFmtId="1" fontId="3" fillId="0" borderId="52" xfId="0" applyNumberFormat="1" applyFont="1" applyBorder="1" applyAlignment="1">
      <alignment horizontal="center" vertical="center" wrapText="1" shrinkToFit="1"/>
    </xf>
    <xf numFmtId="1" fontId="3" fillId="0" borderId="49" xfId="0" applyNumberFormat="1" applyFont="1" applyBorder="1" applyAlignment="1">
      <alignment horizontal="center" vertical="center" wrapText="1" shrinkToFit="1"/>
    </xf>
    <xf numFmtId="0" fontId="0" fillId="0" borderId="53" xfId="0" applyBorder="1"/>
    <xf numFmtId="3" fontId="4" fillId="0" borderId="26" xfId="0" applyNumberFormat="1" applyFont="1" applyBorder="1" applyAlignment="1">
      <alignment horizontal="center" vertical="center" wrapText="1" shrinkToFit="1"/>
    </xf>
    <xf numFmtId="0" fontId="2" fillId="0" borderId="54" xfId="0" applyFont="1" applyBorder="1" applyAlignment="1">
      <alignment horizontal="left" wrapText="1" shrinkToFit="1"/>
    </xf>
    <xf numFmtId="0" fontId="2" fillId="0" borderId="55" xfId="0" applyFont="1" applyBorder="1" applyAlignment="1">
      <alignment horizontal="center" vertical="center" wrapText="1" shrinkToFit="1"/>
    </xf>
    <xf numFmtId="3" fontId="2" fillId="4" borderId="50" xfId="0" applyNumberFormat="1" applyFont="1" applyFill="1" applyBorder="1" applyAlignment="1">
      <alignment horizontal="center" vertical="center" wrapText="1" shrinkToFit="1"/>
    </xf>
    <xf numFmtId="4" fontId="2" fillId="3" borderId="50" xfId="0" applyNumberFormat="1" applyFont="1" applyFill="1" applyBorder="1" applyAlignment="1">
      <alignment horizontal="center" vertical="center" wrapText="1" shrinkToFit="1"/>
    </xf>
    <xf numFmtId="3" fontId="2" fillId="4" borderId="19" xfId="0" applyNumberFormat="1" applyFont="1" applyFill="1" applyBorder="1" applyAlignment="1">
      <alignment horizontal="center" vertical="center" wrapText="1" shrinkToFit="1"/>
    </xf>
    <xf numFmtId="3" fontId="2" fillId="3" borderId="18" xfId="0" applyNumberFormat="1" applyFont="1" applyFill="1" applyBorder="1" applyAlignment="1">
      <alignment horizontal="center" vertical="center" wrapText="1" shrinkToFit="1"/>
    </xf>
    <xf numFmtId="0" fontId="2" fillId="3" borderId="18" xfId="0" applyFont="1" applyFill="1" applyBorder="1" applyAlignment="1">
      <alignment horizontal="center" vertical="center" wrapText="1"/>
    </xf>
    <xf numFmtId="2" fontId="4" fillId="0" borderId="19" xfId="0" applyNumberFormat="1" applyFont="1" applyBorder="1" applyAlignment="1">
      <alignment horizontal="center" vertical="center" wrapText="1" shrinkToFit="1"/>
    </xf>
    <xf numFmtId="2" fontId="4" fillId="0" borderId="56" xfId="0" applyNumberFormat="1" applyFont="1" applyBorder="1" applyAlignment="1">
      <alignment horizontal="center" vertical="center" wrapText="1" shrinkToFit="1"/>
    </xf>
    <xf numFmtId="164" fontId="4" fillId="3" borderId="50" xfId="0" applyNumberFormat="1" applyFont="1" applyFill="1" applyBorder="1" applyAlignment="1">
      <alignment horizontal="center" vertical="center" wrapText="1"/>
    </xf>
    <xf numFmtId="164" fontId="3" fillId="0" borderId="57" xfId="0" applyNumberFormat="1" applyFont="1" applyBorder="1" applyAlignment="1">
      <alignment horizontal="center" vertical="center" wrapText="1" shrinkToFit="1"/>
    </xf>
    <xf numFmtId="1" fontId="3" fillId="0" borderId="58" xfId="0" applyNumberFormat="1" applyFont="1" applyBorder="1" applyAlignment="1">
      <alignment horizontal="center" vertical="center" wrapText="1" shrinkToFit="1"/>
    </xf>
    <xf numFmtId="1" fontId="3" fillId="0" borderId="53" xfId="0" applyNumberFormat="1" applyFont="1" applyBorder="1" applyAlignment="1">
      <alignment horizontal="center" vertical="center" wrapText="1" shrinkToFit="1"/>
    </xf>
    <xf numFmtId="3" fontId="4" fillId="0" borderId="19" xfId="0" applyNumberFormat="1" applyFont="1" applyBorder="1" applyAlignment="1">
      <alignment horizontal="center" vertical="center" wrapText="1" shrinkToFit="1"/>
    </xf>
    <xf numFmtId="0" fontId="2" fillId="3" borderId="54" xfId="0" applyFont="1" applyFill="1" applyBorder="1" applyAlignment="1">
      <alignment horizontal="left" wrapText="1" shrinkToFit="1"/>
    </xf>
    <xf numFmtId="3" fontId="2" fillId="3" borderId="19" xfId="0" applyNumberFormat="1" applyFont="1" applyFill="1" applyBorder="1" applyAlignment="1">
      <alignment horizontal="center" vertical="center" wrapText="1" shrinkToFit="1"/>
    </xf>
    <xf numFmtId="3" fontId="2" fillId="3" borderId="53" xfId="0" applyNumberFormat="1" applyFont="1" applyFill="1" applyBorder="1" applyAlignment="1">
      <alignment horizontal="center" vertical="center" wrapText="1" shrinkToFit="1"/>
    </xf>
    <xf numFmtId="0" fontId="4" fillId="3" borderId="25" xfId="0" applyFont="1" applyFill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3" borderId="54" xfId="0" applyFont="1" applyFill="1" applyBorder="1" applyAlignment="1">
      <alignment horizontal="left" vertical="center" wrapText="1" shrinkToFit="1"/>
    </xf>
    <xf numFmtId="0" fontId="4" fillId="0" borderId="18" xfId="0" applyFont="1" applyBorder="1" applyAlignment="1">
      <alignment horizontal="center" vertical="center" wrapText="1"/>
    </xf>
    <xf numFmtId="164" fontId="3" fillId="0" borderId="58" xfId="0" applyNumberFormat="1" applyFont="1" applyBorder="1" applyAlignment="1">
      <alignment horizontal="center" vertical="center" wrapText="1" shrinkToFit="1"/>
    </xf>
    <xf numFmtId="164" fontId="3" fillId="0" borderId="53" xfId="0" applyNumberFormat="1" applyFont="1" applyBorder="1" applyAlignment="1">
      <alignment horizontal="center" vertical="center" wrapText="1" shrinkToFit="1"/>
    </xf>
    <xf numFmtId="0" fontId="2" fillId="3" borderId="53" xfId="0" applyFont="1" applyFill="1" applyBorder="1" applyAlignment="1">
      <alignment horizontal="center" vertical="center" wrapText="1" shrinkToFit="1"/>
    </xf>
    <xf numFmtId="0" fontId="2" fillId="3" borderId="18" xfId="0" applyFont="1" applyFill="1" applyBorder="1" applyAlignment="1">
      <alignment horizontal="center" vertical="center" wrapText="1" shrinkToFit="1"/>
    </xf>
    <xf numFmtId="0" fontId="2" fillId="0" borderId="50" xfId="0" applyFont="1" applyBorder="1" applyAlignment="1">
      <alignment horizontal="center" vertical="center" wrapText="1" shrinkToFit="1"/>
    </xf>
    <xf numFmtId="0" fontId="2" fillId="0" borderId="19" xfId="0" applyFont="1" applyBorder="1" applyAlignment="1">
      <alignment horizontal="center" vertical="center" wrapText="1" shrinkToFit="1"/>
    </xf>
    <xf numFmtId="0" fontId="2" fillId="0" borderId="56" xfId="0" applyFont="1" applyBorder="1" applyAlignment="1">
      <alignment horizontal="center" vertical="center" wrapText="1" shrinkToFit="1"/>
    </xf>
    <xf numFmtId="164" fontId="2" fillId="0" borderId="57" xfId="0" applyNumberFormat="1" applyFont="1" applyBorder="1" applyAlignment="1">
      <alignment horizontal="center" vertical="center" wrapText="1" shrinkToFit="1"/>
    </xf>
    <xf numFmtId="164" fontId="2" fillId="0" borderId="58" xfId="0" applyNumberFormat="1" applyFont="1" applyBorder="1" applyAlignment="1">
      <alignment horizontal="center" vertical="center" wrapText="1" shrinkToFit="1"/>
    </xf>
    <xf numFmtId="164" fontId="2" fillId="0" borderId="53" xfId="0" applyNumberFormat="1" applyFont="1" applyBorder="1" applyAlignment="1">
      <alignment horizontal="center" vertical="center" wrapText="1" shrinkToFit="1"/>
    </xf>
    <xf numFmtId="0" fontId="2" fillId="0" borderId="10" xfId="0" applyFont="1" applyBorder="1" applyAlignment="1">
      <alignment horizontal="left" wrapText="1" shrinkToFit="1"/>
    </xf>
    <xf numFmtId="0" fontId="2" fillId="0" borderId="22" xfId="0" applyFont="1" applyBorder="1" applyAlignment="1">
      <alignment horizontal="center" vertical="center" wrapText="1" shrinkToFit="1"/>
    </xf>
    <xf numFmtId="3" fontId="2" fillId="3" borderId="21" xfId="0" applyNumberFormat="1" applyFont="1" applyFill="1" applyBorder="1" applyAlignment="1">
      <alignment horizontal="center" vertical="center" wrapText="1" shrinkToFit="1"/>
    </xf>
    <xf numFmtId="3" fontId="2" fillId="3" borderId="23" xfId="0" applyNumberFormat="1" applyFont="1" applyFill="1" applyBorder="1" applyAlignment="1">
      <alignment horizontal="center" vertical="center" wrapText="1" shrinkToFit="1"/>
    </xf>
    <xf numFmtId="3" fontId="2" fillId="3" borderId="20" xfId="0" applyNumberFormat="1" applyFont="1" applyFill="1" applyBorder="1" applyAlignment="1">
      <alignment horizontal="center" vertical="center" wrapText="1" shrinkToFit="1"/>
    </xf>
    <xf numFmtId="0" fontId="2" fillId="4" borderId="17" xfId="0" applyFont="1" applyFill="1" applyBorder="1" applyAlignment="1">
      <alignment horizontal="center" vertical="center" wrapText="1" shrinkToFit="1"/>
    </xf>
    <xf numFmtId="0" fontId="2" fillId="3" borderId="20" xfId="0" applyFont="1" applyFill="1" applyBorder="1" applyAlignment="1">
      <alignment horizontal="center" vertical="center" wrapText="1" shrinkToFit="1"/>
    </xf>
    <xf numFmtId="0" fontId="2" fillId="0" borderId="21" xfId="0" applyFont="1" applyBorder="1" applyAlignment="1">
      <alignment horizontal="center" vertical="center" wrapText="1" shrinkToFit="1"/>
    </xf>
    <xf numFmtId="0" fontId="2" fillId="0" borderId="23" xfId="0" applyFont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 wrapText="1" shrinkToFit="1"/>
    </xf>
    <xf numFmtId="164" fontId="4" fillId="0" borderId="59" xfId="0" applyNumberFormat="1" applyFont="1" applyBorder="1" applyAlignment="1">
      <alignment horizontal="center" vertical="center" wrapText="1" shrinkToFit="1"/>
    </xf>
    <xf numFmtId="164" fontId="2" fillId="0" borderId="11" xfId="0" applyNumberFormat="1" applyFont="1" applyBorder="1" applyAlignment="1">
      <alignment horizontal="center" vertical="center" wrapText="1" shrinkToFit="1"/>
    </xf>
    <xf numFmtId="164" fontId="2" fillId="0" borderId="17" xfId="0" applyNumberFormat="1" applyFont="1" applyBorder="1" applyAlignment="1">
      <alignment horizontal="center" vertical="center" wrapText="1" shrinkToFit="1"/>
    </xf>
    <xf numFmtId="0" fontId="2" fillId="3" borderId="20" xfId="0" applyFont="1" applyFill="1" applyBorder="1" applyAlignment="1">
      <alignment horizontal="center" vertical="center" wrapText="1"/>
    </xf>
    <xf numFmtId="3" fontId="4" fillId="0" borderId="30" xfId="0" applyNumberFormat="1" applyFont="1" applyBorder="1" applyAlignment="1">
      <alignment horizontal="center" vertical="center" wrapText="1" shrinkToFit="1"/>
    </xf>
    <xf numFmtId="164" fontId="4" fillId="0" borderId="57" xfId="0" applyNumberFormat="1" applyFont="1" applyBorder="1" applyAlignment="1">
      <alignment horizontal="center" vertical="center" wrapText="1" shrinkToFit="1"/>
    </xf>
    <xf numFmtId="0" fontId="4" fillId="5" borderId="60" xfId="0" applyFont="1" applyFill="1" applyBorder="1" applyAlignment="1">
      <alignment horizontal="center" vertical="center" wrapText="1" shrinkToFit="1"/>
    </xf>
    <xf numFmtId="2" fontId="3" fillId="5" borderId="15" xfId="0" applyNumberFormat="1" applyFont="1" applyFill="1" applyBorder="1" applyAlignment="1">
      <alignment horizontal="center" vertical="center" wrapText="1" shrinkToFit="1"/>
    </xf>
    <xf numFmtId="3" fontId="3" fillId="5" borderId="32" xfId="0" applyNumberFormat="1" applyFont="1" applyFill="1" applyBorder="1" applyAlignment="1">
      <alignment horizontal="center" vertical="center" wrapText="1" shrinkToFit="1"/>
    </xf>
    <xf numFmtId="3" fontId="3" fillId="5" borderId="16" xfId="0" applyNumberFormat="1" applyFont="1" applyFill="1" applyBorder="1" applyAlignment="1">
      <alignment horizontal="center" vertical="center" wrapText="1" shrinkToFit="1"/>
    </xf>
    <xf numFmtId="3" fontId="3" fillId="5" borderId="36" xfId="0" applyNumberFormat="1" applyFont="1" applyFill="1" applyBorder="1" applyAlignment="1">
      <alignment horizontal="center" vertical="center" wrapText="1" shrinkToFit="1"/>
    </xf>
    <xf numFmtId="0" fontId="3" fillId="5" borderId="31" xfId="0" applyFont="1" applyFill="1" applyBorder="1" applyAlignment="1">
      <alignment horizontal="center" vertical="center" wrapText="1" shrinkToFit="1"/>
    </xf>
    <xf numFmtId="0" fontId="3" fillId="5" borderId="36" xfId="0" applyFont="1" applyFill="1" applyBorder="1" applyAlignment="1">
      <alignment horizontal="center" vertical="center" wrapText="1" shrinkToFit="1"/>
    </xf>
    <xf numFmtId="2" fontId="3" fillId="5" borderId="32" xfId="0" applyNumberFormat="1" applyFont="1" applyFill="1" applyBorder="1" applyAlignment="1">
      <alignment horizontal="center" vertical="center" wrapText="1" shrinkToFit="1"/>
    </xf>
    <xf numFmtId="2" fontId="3" fillId="5" borderId="16" xfId="0" applyNumberFormat="1" applyFont="1" applyFill="1" applyBorder="1" applyAlignment="1">
      <alignment horizontal="center" vertical="center" wrapText="1" shrinkToFit="1"/>
    </xf>
    <xf numFmtId="164" fontId="3" fillId="5" borderId="32" xfId="0" applyNumberFormat="1" applyFont="1" applyFill="1" applyBorder="1" applyAlignment="1">
      <alignment horizontal="center" vertical="center" wrapText="1" shrinkToFit="1"/>
    </xf>
    <xf numFmtId="2" fontId="3" fillId="5" borderId="13" xfId="0" applyNumberFormat="1" applyFont="1" applyFill="1" applyBorder="1" applyAlignment="1">
      <alignment horizontal="center" vertical="center" wrapText="1" shrinkToFit="1"/>
    </xf>
    <xf numFmtId="2" fontId="3" fillId="5" borderId="36" xfId="0" applyNumberFormat="1" applyFont="1" applyFill="1" applyBorder="1" applyAlignment="1">
      <alignment horizontal="center" vertical="center" wrapText="1" shrinkToFit="1"/>
    </xf>
    <xf numFmtId="4" fontId="3" fillId="5" borderId="16" xfId="0" applyNumberFormat="1" applyFont="1" applyFill="1" applyBorder="1" applyAlignment="1">
      <alignment horizontal="center" vertical="center" wrapText="1" shrinkToFit="1"/>
    </xf>
    <xf numFmtId="4" fontId="3" fillId="5" borderId="32" xfId="0" applyNumberFormat="1" applyFont="1" applyFill="1" applyBorder="1" applyAlignment="1">
      <alignment horizontal="center" vertical="center" wrapText="1" shrinkToFit="1"/>
    </xf>
    <xf numFmtId="3" fontId="3" fillId="5" borderId="15" xfId="0" applyNumberFormat="1" applyFont="1" applyFill="1" applyBorder="1" applyAlignment="1">
      <alignment horizontal="center" vertical="center" wrapText="1" shrinkToFit="1"/>
    </xf>
    <xf numFmtId="2" fontId="3" fillId="5" borderId="14" xfId="0" applyNumberFormat="1" applyFont="1" applyFill="1" applyBorder="1" applyAlignment="1">
      <alignment horizontal="center" vertical="center" wrapText="1" shrinkToFit="1"/>
    </xf>
    <xf numFmtId="4" fontId="3" fillId="5" borderId="12" xfId="0" applyNumberFormat="1" applyFont="1" applyFill="1" applyBorder="1" applyAlignment="1">
      <alignment horizontal="center" vertical="center" wrapText="1" shrinkToFit="1"/>
    </xf>
    <xf numFmtId="4" fontId="3" fillId="5" borderId="31" xfId="0" applyNumberFormat="1" applyFont="1" applyFill="1" applyBorder="1" applyAlignment="1">
      <alignment horizontal="center" vertical="center" wrapText="1" shrinkToFit="1"/>
    </xf>
    <xf numFmtId="3" fontId="3" fillId="5" borderId="61" xfId="0" applyNumberFormat="1" applyFont="1" applyFill="1" applyBorder="1" applyAlignment="1">
      <alignment horizontal="center" vertical="center" wrapText="1" shrinkToFit="1"/>
    </xf>
    <xf numFmtId="0" fontId="4" fillId="6" borderId="37" xfId="0" applyFont="1" applyFill="1" applyBorder="1" applyAlignment="1">
      <alignment horizontal="center" vertical="center" wrapText="1" shrinkToFit="1"/>
    </xf>
    <xf numFmtId="0" fontId="4" fillId="6" borderId="15" xfId="0" applyFont="1" applyFill="1" applyBorder="1" applyAlignment="1">
      <alignment horizontal="center" vertical="center" wrapText="1" shrinkToFit="1"/>
    </xf>
    <xf numFmtId="3" fontId="3" fillId="6" borderId="32" xfId="0" applyNumberFormat="1" applyFont="1" applyFill="1" applyBorder="1" applyAlignment="1">
      <alignment horizontal="center" vertical="center" wrapText="1" shrinkToFit="1"/>
    </xf>
    <xf numFmtId="3" fontId="3" fillId="6" borderId="31" xfId="0" applyNumberFormat="1" applyFont="1" applyFill="1" applyBorder="1" applyAlignment="1">
      <alignment horizontal="center" vertical="center" wrapText="1" shrinkToFit="1"/>
    </xf>
    <xf numFmtId="3" fontId="3" fillId="6" borderId="15" xfId="0" applyNumberFormat="1" applyFont="1" applyFill="1" applyBorder="1" applyAlignment="1">
      <alignment horizontal="center" vertical="center" wrapText="1" shrinkToFit="1"/>
    </xf>
    <xf numFmtId="3" fontId="3" fillId="6" borderId="16" xfId="0" applyNumberFormat="1" applyFont="1" applyFill="1" applyBorder="1" applyAlignment="1">
      <alignment horizontal="center" vertical="center" wrapText="1" shrinkToFit="1"/>
    </xf>
    <xf numFmtId="0" fontId="3" fillId="6" borderId="16" xfId="0" applyFont="1" applyFill="1" applyBorder="1" applyAlignment="1">
      <alignment horizontal="center" vertical="center" wrapText="1" shrinkToFit="1"/>
    </xf>
    <xf numFmtId="0" fontId="3" fillId="6" borderId="36" xfId="0" applyFont="1" applyFill="1" applyBorder="1" applyAlignment="1">
      <alignment horizontal="center" vertical="center" wrapText="1" shrinkToFit="1"/>
    </xf>
    <xf numFmtId="165" fontId="3" fillId="6" borderId="32" xfId="0" applyNumberFormat="1" applyFont="1" applyFill="1" applyBorder="1" applyAlignment="1">
      <alignment horizontal="center" vertical="center" wrapText="1" shrinkToFit="1"/>
    </xf>
    <xf numFmtId="165" fontId="3" fillId="6" borderId="15" xfId="0" applyNumberFormat="1" applyFont="1" applyFill="1" applyBorder="1" applyAlignment="1">
      <alignment horizontal="center" vertical="center" wrapText="1" shrinkToFit="1"/>
    </xf>
    <xf numFmtId="2" fontId="3" fillId="6" borderId="36" xfId="0" applyNumberFormat="1" applyFont="1" applyFill="1" applyBorder="1" applyAlignment="1">
      <alignment horizontal="center" vertical="center" wrapText="1" shrinkToFit="1"/>
    </xf>
    <xf numFmtId="4" fontId="3" fillId="6" borderId="16" xfId="0" applyNumberFormat="1" applyFont="1" applyFill="1" applyBorder="1" applyAlignment="1">
      <alignment horizontal="center" vertical="center" wrapText="1" shrinkToFit="1"/>
    </xf>
    <xf numFmtId="4" fontId="3" fillId="6" borderId="32" xfId="0" applyNumberFormat="1" applyFont="1" applyFill="1" applyBorder="1" applyAlignment="1">
      <alignment horizontal="center" vertical="center" wrapText="1" shrinkToFit="1"/>
    </xf>
    <xf numFmtId="165" fontId="3" fillId="6" borderId="44" xfId="0" applyNumberFormat="1" applyFont="1" applyFill="1" applyBorder="1" applyAlignment="1">
      <alignment horizontal="center" vertical="center" wrapText="1" shrinkToFit="1"/>
    </xf>
    <xf numFmtId="165" fontId="3" fillId="6" borderId="13" xfId="0" applyNumberFormat="1" applyFont="1" applyFill="1" applyBorder="1" applyAlignment="1">
      <alignment horizontal="center" vertical="center" wrapText="1" shrinkToFit="1"/>
    </xf>
    <xf numFmtId="165" fontId="3" fillId="6" borderId="31" xfId="0" applyNumberFormat="1" applyFont="1" applyFill="1" applyBorder="1" applyAlignment="1">
      <alignment horizontal="center" vertical="center" wrapText="1" shrinkToFit="1"/>
    </xf>
    <xf numFmtId="2" fontId="3" fillId="6" borderId="15" xfId="0" applyNumberFormat="1" applyFont="1" applyFill="1" applyBorder="1" applyAlignment="1">
      <alignment horizontal="center" vertical="center" wrapText="1" shrinkToFit="1"/>
    </xf>
    <xf numFmtId="165" fontId="3" fillId="6" borderId="16" xfId="0" applyNumberFormat="1" applyFont="1" applyFill="1" applyBorder="1" applyAlignment="1">
      <alignment horizontal="center" vertical="center" wrapText="1" shrinkToFit="1"/>
    </xf>
    <xf numFmtId="165" fontId="3" fillId="7" borderId="27" xfId="0" applyNumberFormat="1" applyFont="1" applyFill="1" applyBorder="1" applyAlignment="1">
      <alignment wrapText="1" shrinkToFit="1"/>
    </xf>
    <xf numFmtId="165" fontId="3" fillId="3" borderId="63" xfId="0" applyNumberFormat="1" applyFont="1" applyFill="1" applyBorder="1" applyAlignment="1">
      <alignment wrapText="1" shrinkToFit="1"/>
    </xf>
    <xf numFmtId="165" fontId="9" fillId="3" borderId="27" xfId="0" applyNumberFormat="1" applyFont="1" applyFill="1" applyBorder="1" applyAlignment="1">
      <alignment horizontal="center" wrapText="1" shrinkToFit="1"/>
    </xf>
    <xf numFmtId="165" fontId="9" fillId="3" borderId="48" xfId="0" applyNumberFormat="1" applyFont="1" applyFill="1" applyBorder="1" applyAlignment="1">
      <alignment horizontal="center" wrapText="1" shrinkToFit="1"/>
    </xf>
    <xf numFmtId="2" fontId="9" fillId="3" borderId="64" xfId="0" applyNumberFormat="1" applyFont="1" applyFill="1" applyBorder="1" applyAlignment="1">
      <alignment horizontal="center" wrapText="1" shrinkToFit="1"/>
    </xf>
    <xf numFmtId="4" fontId="9" fillId="3" borderId="9" xfId="0" applyNumberFormat="1" applyFont="1" applyFill="1" applyBorder="1" applyAlignment="1">
      <alignment horizontal="center" wrapText="1" shrinkToFit="1"/>
    </xf>
    <xf numFmtId="3" fontId="9" fillId="3" borderId="27" xfId="0" applyNumberFormat="1" applyFont="1" applyFill="1" applyBorder="1" applyAlignment="1">
      <alignment horizontal="center" wrapText="1" shrinkToFit="1"/>
    </xf>
    <xf numFmtId="4" fontId="9" fillId="3" borderId="27" xfId="0" applyNumberFormat="1" applyFont="1" applyFill="1" applyBorder="1" applyAlignment="1">
      <alignment horizontal="center" wrapText="1" shrinkToFit="1"/>
    </xf>
    <xf numFmtId="3" fontId="9" fillId="3" borderId="64" xfId="0" applyNumberFormat="1" applyFont="1" applyFill="1" applyBorder="1" applyAlignment="1">
      <alignment horizontal="center" wrapText="1" shrinkToFit="1"/>
    </xf>
    <xf numFmtId="165" fontId="9" fillId="3" borderId="63" xfId="0" applyNumberFormat="1" applyFont="1" applyFill="1" applyBorder="1" applyAlignment="1">
      <alignment horizontal="center" wrapText="1" shrinkToFit="1"/>
    </xf>
    <xf numFmtId="2" fontId="9" fillId="3" borderId="64" xfId="0" applyNumberFormat="1" applyFont="1" applyFill="1" applyBorder="1" applyAlignment="1">
      <alignment horizontal="center" vertical="center" wrapText="1" shrinkToFit="1"/>
    </xf>
    <xf numFmtId="0" fontId="2" fillId="5" borderId="54" xfId="0" applyFont="1" applyFill="1" applyBorder="1" applyAlignment="1">
      <alignment horizontal="left" wrapText="1" shrinkToFit="1"/>
    </xf>
    <xf numFmtId="0" fontId="4" fillId="5" borderId="55" xfId="0" applyFont="1" applyFill="1" applyBorder="1" applyAlignment="1">
      <alignment horizontal="center" vertical="center" wrapText="1" shrinkToFit="1"/>
    </xf>
    <xf numFmtId="3" fontId="4" fillId="5" borderId="50" xfId="0" applyNumberFormat="1" applyFont="1" applyFill="1" applyBorder="1" applyAlignment="1">
      <alignment horizontal="center" vertical="center" wrapText="1" shrinkToFit="1"/>
    </xf>
    <xf numFmtId="3" fontId="4" fillId="5" borderId="50" xfId="0" applyNumberFormat="1" applyFont="1" applyFill="1" applyBorder="1" applyAlignment="1">
      <alignment horizontal="center" wrapText="1" shrinkToFit="1"/>
    </xf>
    <xf numFmtId="3" fontId="4" fillId="5" borderId="53" xfId="0" applyNumberFormat="1" applyFont="1" applyFill="1" applyBorder="1" applyAlignment="1">
      <alignment horizontal="center" vertical="center" wrapText="1" shrinkToFit="1"/>
    </xf>
    <xf numFmtId="3" fontId="4" fillId="5" borderId="55" xfId="0" applyNumberFormat="1" applyFont="1" applyFill="1" applyBorder="1" applyAlignment="1">
      <alignment horizontal="center" wrapText="1" shrinkToFit="1"/>
    </xf>
    <xf numFmtId="3" fontId="4" fillId="5" borderId="19" xfId="0" applyNumberFormat="1" applyFont="1" applyFill="1" applyBorder="1" applyAlignment="1">
      <alignment horizontal="center" wrapText="1" shrinkToFit="1"/>
    </xf>
    <xf numFmtId="0" fontId="4" fillId="5" borderId="19" xfId="0" applyFont="1" applyFill="1" applyBorder="1" applyAlignment="1">
      <alignment horizontal="center" wrapText="1" shrinkToFit="1"/>
    </xf>
    <xf numFmtId="0" fontId="4" fillId="5" borderId="25" xfId="0" applyFont="1" applyFill="1" applyBorder="1" applyAlignment="1">
      <alignment horizontal="center" wrapText="1" shrinkToFit="1"/>
    </xf>
    <xf numFmtId="2" fontId="2" fillId="5" borderId="47" xfId="0" applyNumberFormat="1" applyFont="1" applyFill="1" applyBorder="1" applyAlignment="1">
      <alignment horizontal="center" vertical="center" wrapText="1" shrinkToFit="1"/>
    </xf>
    <xf numFmtId="2" fontId="2" fillId="5" borderId="26" xfId="0" applyNumberFormat="1" applyFont="1" applyFill="1" applyBorder="1" applyAlignment="1">
      <alignment horizontal="center" vertical="center" wrapText="1" shrinkToFit="1"/>
    </xf>
    <xf numFmtId="2" fontId="2" fillId="5" borderId="51" xfId="0" applyNumberFormat="1" applyFont="1" applyFill="1" applyBorder="1" applyAlignment="1">
      <alignment horizontal="center" vertical="center" wrapText="1" shrinkToFit="1"/>
    </xf>
    <xf numFmtId="2" fontId="2" fillId="5" borderId="25" xfId="0" applyNumberFormat="1" applyFont="1" applyFill="1" applyBorder="1" applyAlignment="1">
      <alignment horizontal="center" wrapText="1" shrinkToFit="1"/>
    </xf>
    <xf numFmtId="3" fontId="2" fillId="5" borderId="26" xfId="0" applyNumberFormat="1" applyFont="1" applyFill="1" applyBorder="1" applyAlignment="1">
      <alignment horizontal="center" vertical="center" wrapText="1" shrinkToFit="1"/>
    </xf>
    <xf numFmtId="3" fontId="2" fillId="5" borderId="47" xfId="0" applyNumberFormat="1" applyFont="1" applyFill="1" applyBorder="1" applyAlignment="1">
      <alignment horizontal="center" wrapText="1" shrinkToFit="1"/>
    </xf>
    <xf numFmtId="3" fontId="2" fillId="5" borderId="47" xfId="0" applyNumberFormat="1" applyFont="1" applyFill="1" applyBorder="1" applyAlignment="1">
      <alignment horizontal="center" vertical="center" wrapText="1" shrinkToFit="1"/>
    </xf>
    <xf numFmtId="3" fontId="2" fillId="5" borderId="46" xfId="0" applyNumberFormat="1" applyFont="1" applyFill="1" applyBorder="1" applyAlignment="1">
      <alignment horizontal="center" wrapText="1" shrinkToFit="1"/>
    </xf>
    <xf numFmtId="3" fontId="2" fillId="5" borderId="28" xfId="0" applyNumberFormat="1" applyFont="1" applyFill="1" applyBorder="1" applyAlignment="1">
      <alignment horizontal="center" vertical="center" wrapText="1" shrinkToFit="1"/>
    </xf>
    <xf numFmtId="3" fontId="2" fillId="5" borderId="52" xfId="0" applyNumberFormat="1" applyFont="1" applyFill="1" applyBorder="1" applyAlignment="1">
      <alignment horizontal="center" vertical="center" wrapText="1" shrinkToFit="1"/>
    </xf>
    <xf numFmtId="3" fontId="2" fillId="5" borderId="49" xfId="0" applyNumberFormat="1" applyFont="1" applyFill="1" applyBorder="1" applyAlignment="1">
      <alignment horizontal="center" vertical="center" wrapText="1" shrinkToFit="1"/>
    </xf>
    <xf numFmtId="2" fontId="2" fillId="5" borderId="25" xfId="0" applyNumberFormat="1" applyFont="1" applyFill="1" applyBorder="1" applyAlignment="1">
      <alignment horizontal="center" vertical="center" wrapText="1" shrinkToFit="1"/>
    </xf>
    <xf numFmtId="0" fontId="2" fillId="5" borderId="10" xfId="0" applyFont="1" applyFill="1" applyBorder="1" applyAlignment="1">
      <alignment horizontal="left" vertical="center" wrapText="1" shrinkToFit="1"/>
    </xf>
    <xf numFmtId="0" fontId="10" fillId="5" borderId="22" xfId="0" applyFont="1" applyFill="1" applyBorder="1" applyAlignment="1">
      <alignment horizontal="center" vertical="center" wrapText="1" shrinkToFit="1"/>
    </xf>
    <xf numFmtId="3" fontId="4" fillId="5" borderId="21" xfId="0" applyNumberFormat="1" applyFont="1" applyFill="1" applyBorder="1" applyAlignment="1">
      <alignment horizontal="center" vertical="center" wrapText="1" shrinkToFit="1"/>
    </xf>
    <xf numFmtId="3" fontId="4" fillId="5" borderId="17" xfId="0" applyNumberFormat="1" applyFont="1" applyFill="1" applyBorder="1" applyAlignment="1">
      <alignment horizontal="center" vertical="center" wrapText="1" shrinkToFit="1"/>
    </xf>
    <xf numFmtId="3" fontId="4" fillId="5" borderId="22" xfId="0" applyNumberFormat="1" applyFont="1" applyFill="1" applyBorder="1" applyAlignment="1">
      <alignment horizontal="center" vertical="center" wrapText="1" shrinkToFit="1"/>
    </xf>
    <xf numFmtId="3" fontId="4" fillId="5" borderId="23" xfId="0" applyNumberFormat="1" applyFont="1" applyFill="1" applyBorder="1" applyAlignment="1">
      <alignment horizontal="center" vertical="center" wrapText="1" shrinkToFit="1"/>
    </xf>
    <xf numFmtId="0" fontId="4" fillId="5" borderId="23" xfId="0" applyFont="1" applyFill="1" applyBorder="1" applyAlignment="1">
      <alignment horizontal="center" vertical="center" wrapText="1" shrinkToFit="1"/>
    </xf>
    <xf numFmtId="0" fontId="4" fillId="5" borderId="20" xfId="0" applyFont="1" applyFill="1" applyBorder="1" applyAlignment="1">
      <alignment horizontal="center" vertical="center" wrapText="1" shrinkToFit="1"/>
    </xf>
    <xf numFmtId="166" fontId="4" fillId="5" borderId="21" xfId="0" applyNumberFormat="1" applyFont="1" applyFill="1" applyBorder="1" applyAlignment="1">
      <alignment horizontal="center" vertical="center" wrapText="1" shrinkToFit="1"/>
    </xf>
    <xf numFmtId="166" fontId="4" fillId="5" borderId="23" xfId="0" applyNumberFormat="1" applyFont="1" applyFill="1" applyBorder="1" applyAlignment="1">
      <alignment horizontal="center" vertical="center" wrapText="1" shrinkToFit="1"/>
    </xf>
    <xf numFmtId="166" fontId="4" fillId="5" borderId="0" xfId="0" applyNumberFormat="1" applyFont="1" applyFill="1" applyAlignment="1">
      <alignment horizontal="center" vertical="center" wrapText="1" shrinkToFit="1"/>
    </xf>
    <xf numFmtId="2" fontId="4" fillId="5" borderId="20" xfId="0" applyNumberFormat="1" applyFont="1" applyFill="1" applyBorder="1" applyAlignment="1">
      <alignment horizontal="center" vertical="center" wrapText="1" shrinkToFit="1"/>
    </xf>
    <xf numFmtId="1" fontId="4" fillId="5" borderId="23" xfId="0" applyNumberFormat="1" applyFont="1" applyFill="1" applyBorder="1" applyAlignment="1">
      <alignment horizontal="center" vertical="center" wrapText="1" shrinkToFit="1"/>
    </xf>
    <xf numFmtId="1" fontId="4" fillId="5" borderId="21" xfId="0" applyNumberFormat="1" applyFont="1" applyFill="1" applyBorder="1" applyAlignment="1">
      <alignment horizontal="center" vertical="center" wrapText="1" shrinkToFit="1"/>
    </xf>
    <xf numFmtId="1" fontId="4" fillId="5" borderId="59" xfId="0" applyNumberFormat="1" applyFont="1" applyFill="1" applyBorder="1" applyAlignment="1">
      <alignment horizontal="center" vertical="center" wrapText="1" shrinkToFit="1"/>
    </xf>
    <xf numFmtId="1" fontId="4" fillId="5" borderId="17" xfId="0" applyNumberFormat="1" applyFont="1" applyFill="1" applyBorder="1" applyAlignment="1">
      <alignment horizontal="center" vertical="center" wrapText="1" shrinkToFit="1"/>
    </xf>
    <xf numFmtId="0" fontId="2" fillId="8" borderId="54" xfId="0" applyFont="1" applyFill="1" applyBorder="1" applyAlignment="1">
      <alignment horizontal="left" vertical="center" wrapText="1" shrinkToFit="1"/>
    </xf>
    <xf numFmtId="0" fontId="10" fillId="8" borderId="55" xfId="0" applyFont="1" applyFill="1" applyBorder="1" applyAlignment="1">
      <alignment horizontal="center" vertical="center" wrapText="1" shrinkToFit="1"/>
    </xf>
    <xf numFmtId="3" fontId="4" fillId="8" borderId="50" xfId="0" applyNumberFormat="1" applyFont="1" applyFill="1" applyBorder="1" applyAlignment="1">
      <alignment horizontal="center" vertical="center" wrapText="1" shrinkToFit="1"/>
    </xf>
    <xf numFmtId="3" fontId="4" fillId="8" borderId="53" xfId="0" applyNumberFormat="1" applyFont="1" applyFill="1" applyBorder="1" applyAlignment="1">
      <alignment horizontal="center" vertical="center" wrapText="1" shrinkToFit="1"/>
    </xf>
    <xf numFmtId="3" fontId="4" fillId="8" borderId="55" xfId="0" applyNumberFormat="1" applyFont="1" applyFill="1" applyBorder="1" applyAlignment="1">
      <alignment horizontal="center" vertical="center" wrapText="1" shrinkToFit="1"/>
    </xf>
    <xf numFmtId="3" fontId="4" fillId="8" borderId="19" xfId="0" applyNumberFormat="1" applyFont="1" applyFill="1" applyBorder="1" applyAlignment="1">
      <alignment horizontal="center" vertical="center" wrapText="1" shrinkToFit="1"/>
    </xf>
    <xf numFmtId="0" fontId="4" fillId="8" borderId="19" xfId="0" applyFont="1" applyFill="1" applyBorder="1" applyAlignment="1">
      <alignment horizontal="center" vertical="center" wrapText="1" shrinkToFit="1"/>
    </xf>
    <xf numFmtId="0" fontId="4" fillId="8" borderId="18" xfId="0" applyFont="1" applyFill="1" applyBorder="1" applyAlignment="1">
      <alignment horizontal="center" vertical="center" wrapText="1" shrinkToFit="1"/>
    </xf>
    <xf numFmtId="166" fontId="4" fillId="8" borderId="50" xfId="0" applyNumberFormat="1" applyFont="1" applyFill="1" applyBorder="1" applyAlignment="1">
      <alignment horizontal="center" vertical="center" wrapText="1" shrinkToFit="1"/>
    </xf>
    <xf numFmtId="166" fontId="4" fillId="8" borderId="19" xfId="0" applyNumberFormat="1" applyFont="1" applyFill="1" applyBorder="1" applyAlignment="1">
      <alignment horizontal="center" vertical="center" wrapText="1" shrinkToFit="1"/>
    </xf>
    <xf numFmtId="166" fontId="4" fillId="8" borderId="56" xfId="0" applyNumberFormat="1" applyFont="1" applyFill="1" applyBorder="1" applyAlignment="1">
      <alignment horizontal="center" vertical="center" wrapText="1" shrinkToFit="1"/>
    </xf>
    <xf numFmtId="2" fontId="4" fillId="8" borderId="18" xfId="0" applyNumberFormat="1" applyFont="1" applyFill="1" applyBorder="1" applyAlignment="1">
      <alignment horizontal="center" vertical="center" wrapText="1" shrinkToFit="1"/>
    </xf>
    <xf numFmtId="1" fontId="4" fillId="8" borderId="19" xfId="0" applyNumberFormat="1" applyFont="1" applyFill="1" applyBorder="1" applyAlignment="1">
      <alignment horizontal="center" vertical="center" wrapText="1" shrinkToFit="1"/>
    </xf>
    <xf numFmtId="1" fontId="4" fillId="8" borderId="50" xfId="0" applyNumberFormat="1" applyFont="1" applyFill="1" applyBorder="1" applyAlignment="1">
      <alignment horizontal="center" vertical="center" wrapText="1" shrinkToFit="1"/>
    </xf>
    <xf numFmtId="167" fontId="4" fillId="8" borderId="57" xfId="0" applyNumberFormat="1" applyFont="1" applyFill="1" applyBorder="1" applyAlignment="1">
      <alignment horizontal="center" vertical="center" wrapText="1" shrinkToFit="1"/>
    </xf>
    <xf numFmtId="166" fontId="4" fillId="8" borderId="58" xfId="0" applyNumberFormat="1" applyFont="1" applyFill="1" applyBorder="1" applyAlignment="1">
      <alignment horizontal="center" vertical="center" wrapText="1" shrinkToFit="1"/>
    </xf>
    <xf numFmtId="1" fontId="4" fillId="8" borderId="53" xfId="0" applyNumberFormat="1" applyFont="1" applyFill="1" applyBorder="1" applyAlignment="1">
      <alignment horizontal="center" vertical="center" wrapText="1" shrinkToFit="1"/>
    </xf>
    <xf numFmtId="1" fontId="4" fillId="8" borderId="57" xfId="0" applyNumberFormat="1" applyFont="1" applyFill="1" applyBorder="1" applyAlignment="1">
      <alignment horizontal="center" vertical="center" wrapText="1" shrinkToFit="1"/>
    </xf>
    <xf numFmtId="1" fontId="4" fillId="8" borderId="56" xfId="0" applyNumberFormat="1" applyFont="1" applyFill="1" applyBorder="1" applyAlignment="1">
      <alignment horizontal="center" vertical="center" wrapText="1" shrinkToFit="1"/>
    </xf>
    <xf numFmtId="0" fontId="4" fillId="5" borderId="13" xfId="0" applyFont="1" applyFill="1" applyBorder="1" applyAlignment="1">
      <alignment horizontal="center" vertical="center" wrapText="1" shrinkToFit="1"/>
    </xf>
    <xf numFmtId="1" fontId="4" fillId="5" borderId="66" xfId="0" applyNumberFormat="1" applyFont="1" applyFill="1" applyBorder="1" applyAlignment="1">
      <alignment horizontal="center" vertical="center" wrapText="1" shrinkToFit="1"/>
    </xf>
    <xf numFmtId="1" fontId="4" fillId="5" borderId="13" xfId="0" applyNumberFormat="1" applyFont="1" applyFill="1" applyBorder="1" applyAlignment="1">
      <alignment horizontal="center" vertical="center" wrapText="1" shrinkToFit="1"/>
    </xf>
    <xf numFmtId="1" fontId="4" fillId="5" borderId="50" xfId="0" applyNumberFormat="1" applyFont="1" applyFill="1" applyBorder="1" applyAlignment="1">
      <alignment horizontal="center" vertical="center" wrapText="1" shrinkToFit="1"/>
    </xf>
    <xf numFmtId="1" fontId="4" fillId="5" borderId="15" xfId="0" applyNumberFormat="1" applyFont="1" applyFill="1" applyBorder="1" applyAlignment="1">
      <alignment horizontal="center" vertical="center" wrapText="1" shrinkToFit="1"/>
    </xf>
    <xf numFmtId="2" fontId="4" fillId="5" borderId="13" xfId="0" applyNumberFormat="1" applyFont="1" applyFill="1" applyBorder="1" applyAlignment="1">
      <alignment horizontal="center" vertical="center" wrapText="1" shrinkToFit="1"/>
    </xf>
    <xf numFmtId="1" fontId="4" fillId="5" borderId="32" xfId="0" applyNumberFormat="1" applyFont="1" applyFill="1" applyBorder="1" applyAlignment="1">
      <alignment horizontal="center" vertical="center" wrapText="1" shrinkToFit="1"/>
    </xf>
    <xf numFmtId="1" fontId="4" fillId="5" borderId="14" xfId="0" applyNumberFormat="1" applyFont="1" applyFill="1" applyBorder="1" applyAlignment="1">
      <alignment horizontal="center" vertical="center" wrapText="1" shrinkToFit="1"/>
    </xf>
    <xf numFmtId="3" fontId="4" fillId="5" borderId="13" xfId="0" applyNumberFormat="1" applyFont="1" applyFill="1" applyBorder="1" applyAlignment="1">
      <alignment horizontal="center" vertical="center" wrapText="1" shrinkToFit="1"/>
    </xf>
    <xf numFmtId="1" fontId="4" fillId="5" borderId="61" xfId="0" applyNumberFormat="1" applyFont="1" applyFill="1" applyBorder="1" applyAlignment="1">
      <alignment horizontal="center" vertical="center" wrapText="1" shrinkToFit="1"/>
    </xf>
    <xf numFmtId="1" fontId="4" fillId="5" borderId="12" xfId="0" applyNumberFormat="1" applyFont="1" applyFill="1" applyBorder="1" applyAlignment="1">
      <alignment horizontal="center" vertical="center" wrapText="1" shrinkToFit="1"/>
    </xf>
    <xf numFmtId="2" fontId="4" fillId="5" borderId="67" xfId="0" applyNumberFormat="1" applyFont="1" applyFill="1" applyBorder="1" applyAlignment="1">
      <alignment horizontal="center" vertical="center" wrapText="1" shrinkToFit="1"/>
    </xf>
    <xf numFmtId="0" fontId="2" fillId="9" borderId="35" xfId="0" applyFont="1" applyFill="1" applyBorder="1" applyAlignment="1">
      <alignment horizontal="left" vertical="center" wrapText="1" shrinkToFit="1"/>
    </xf>
    <xf numFmtId="166" fontId="4" fillId="9" borderId="47" xfId="0" applyNumberFormat="1" applyFont="1" applyFill="1" applyBorder="1" applyAlignment="1">
      <alignment horizontal="center" vertical="center" wrapText="1" shrinkToFit="1"/>
    </xf>
    <xf numFmtId="166" fontId="4" fillId="9" borderId="51" xfId="0" applyNumberFormat="1" applyFont="1" applyFill="1" applyBorder="1" applyAlignment="1">
      <alignment horizontal="center" vertical="center" wrapText="1" shrinkToFit="1"/>
    </xf>
    <xf numFmtId="166" fontId="4" fillId="9" borderId="51" xfId="0" applyNumberFormat="1" applyFont="1" applyFill="1" applyBorder="1" applyAlignment="1">
      <alignment horizontal="center" wrapText="1" shrinkToFit="1"/>
    </xf>
    <xf numFmtId="2" fontId="4" fillId="9" borderId="51" xfId="0" applyNumberFormat="1" applyFont="1" applyFill="1" applyBorder="1" applyAlignment="1">
      <alignment horizontal="center" wrapText="1" shrinkToFit="1"/>
    </xf>
    <xf numFmtId="1" fontId="4" fillId="9" borderId="51" xfId="0" applyNumberFormat="1" applyFont="1" applyFill="1" applyBorder="1" applyAlignment="1">
      <alignment horizontal="center" wrapText="1" shrinkToFit="1"/>
    </xf>
    <xf numFmtId="3" fontId="4" fillId="9" borderId="51" xfId="0" applyNumberFormat="1" applyFont="1" applyFill="1" applyBorder="1" applyAlignment="1">
      <alignment horizontal="center" wrapText="1" shrinkToFit="1"/>
    </xf>
    <xf numFmtId="169" fontId="4" fillId="9" borderId="49" xfId="0" applyNumberFormat="1" applyFont="1" applyFill="1" applyBorder="1" applyAlignment="1">
      <alignment horizontal="center" vertical="center" wrapText="1" shrinkToFit="1"/>
    </xf>
    <xf numFmtId="1" fontId="4" fillId="9" borderId="48" xfId="0" applyNumberFormat="1" applyFont="1" applyFill="1" applyBorder="1" applyAlignment="1">
      <alignment horizontal="center" vertical="center" wrapText="1" shrinkToFit="1"/>
    </xf>
    <xf numFmtId="2" fontId="4" fillId="9" borderId="51" xfId="0" applyNumberFormat="1" applyFont="1" applyFill="1" applyBorder="1" applyAlignment="1">
      <alignment horizontal="center" vertical="center" wrapText="1" shrinkToFit="1"/>
    </xf>
    <xf numFmtId="1" fontId="4" fillId="9" borderId="26" xfId="0" applyNumberFormat="1" applyFont="1" applyFill="1" applyBorder="1" applyAlignment="1">
      <alignment horizontal="center" vertical="center" wrapText="1" shrinkToFit="1"/>
    </xf>
    <xf numFmtId="0" fontId="4" fillId="2" borderId="12" xfId="0" applyFont="1" applyFill="1" applyBorder="1" applyAlignment="1">
      <alignment horizontal="center" vertical="center" wrapText="1" shrinkToFit="1"/>
    </xf>
    <xf numFmtId="0" fontId="2" fillId="9" borderId="37" xfId="0" applyFont="1" applyFill="1" applyBorder="1" applyAlignment="1">
      <alignment horizontal="left" vertical="center" wrapText="1" shrinkToFit="1"/>
    </xf>
    <xf numFmtId="166" fontId="4" fillId="9" borderId="32" xfId="0" applyNumberFormat="1" applyFont="1" applyFill="1" applyBorder="1" applyAlignment="1">
      <alignment horizontal="center" vertical="center" wrapText="1" shrinkToFit="1"/>
    </xf>
    <xf numFmtId="166" fontId="4" fillId="9" borderId="13" xfId="0" applyNumberFormat="1" applyFont="1" applyFill="1" applyBorder="1" applyAlignment="1">
      <alignment horizontal="center" vertical="center" wrapText="1" shrinkToFit="1"/>
    </xf>
    <xf numFmtId="166" fontId="4" fillId="9" borderId="13" xfId="0" applyNumberFormat="1" applyFont="1" applyFill="1" applyBorder="1" applyAlignment="1">
      <alignment horizontal="center" wrapText="1" shrinkToFit="1"/>
    </xf>
    <xf numFmtId="2" fontId="4" fillId="9" borderId="13" xfId="0" applyNumberFormat="1" applyFont="1" applyFill="1" applyBorder="1" applyAlignment="1">
      <alignment horizontal="center" wrapText="1" shrinkToFit="1"/>
    </xf>
    <xf numFmtId="1" fontId="4" fillId="9" borderId="13" xfId="0" applyNumberFormat="1" applyFont="1" applyFill="1" applyBorder="1" applyAlignment="1">
      <alignment horizontal="center" wrapText="1" shrinkToFit="1"/>
    </xf>
    <xf numFmtId="3" fontId="4" fillId="9" borderId="13" xfId="0" applyNumberFormat="1" applyFont="1" applyFill="1" applyBorder="1" applyAlignment="1">
      <alignment horizontal="center" wrapText="1" shrinkToFit="1"/>
    </xf>
    <xf numFmtId="169" fontId="4" fillId="9" borderId="31" xfId="0" applyNumberFormat="1" applyFont="1" applyFill="1" applyBorder="1" applyAlignment="1">
      <alignment horizontal="center" vertical="center" wrapText="1" shrinkToFit="1"/>
    </xf>
    <xf numFmtId="1" fontId="4" fillId="9" borderId="13" xfId="0" applyNumberFormat="1" applyFont="1" applyFill="1" applyBorder="1" applyAlignment="1">
      <alignment horizontal="center" vertical="center" wrapText="1" shrinkToFit="1"/>
    </xf>
    <xf numFmtId="1" fontId="4" fillId="9" borderId="31" xfId="0" applyNumberFormat="1" applyFont="1" applyFill="1" applyBorder="1" applyAlignment="1">
      <alignment horizontal="center" vertical="center" wrapText="1" shrinkToFit="1"/>
    </xf>
    <xf numFmtId="2" fontId="4" fillId="9" borderId="13" xfId="0" applyNumberFormat="1" applyFont="1" applyFill="1" applyBorder="1" applyAlignment="1">
      <alignment horizontal="center" vertical="center" wrapText="1" shrinkToFit="1"/>
    </xf>
    <xf numFmtId="1" fontId="4" fillId="9" borderId="16" xfId="0" applyNumberFormat="1" applyFont="1" applyFill="1" applyBorder="1" applyAlignment="1">
      <alignment horizontal="center" vertical="center" wrapText="1" shrinkToFi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2" fillId="0" borderId="0" xfId="0" applyFont="1" applyAlignment="1">
      <alignment horizontal="right" vertical="center"/>
    </xf>
    <xf numFmtId="0" fontId="14" fillId="4" borderId="47" xfId="0" applyFont="1" applyFill="1" applyBorder="1" applyAlignment="1">
      <alignment horizontal="center" vertical="center" wrapText="1" shrinkToFit="1"/>
    </xf>
    <xf numFmtId="3" fontId="15" fillId="4" borderId="19" xfId="0" applyNumberFormat="1" applyFont="1" applyFill="1" applyBorder="1" applyAlignment="1">
      <alignment horizontal="center" vertical="center" wrapText="1" shrinkToFit="1"/>
    </xf>
    <xf numFmtId="3" fontId="15" fillId="4" borderId="50" xfId="0" applyNumberFormat="1" applyFont="1" applyFill="1" applyBorder="1" applyAlignment="1">
      <alignment horizontal="center" vertical="center" wrapText="1" shrinkToFit="1"/>
    </xf>
    <xf numFmtId="3" fontId="15" fillId="4" borderId="53" xfId="0" applyNumberFormat="1" applyFont="1" applyFill="1" applyBorder="1" applyAlignment="1">
      <alignment horizontal="center" vertical="center" wrapText="1" shrinkToFit="1"/>
    </xf>
    <xf numFmtId="165" fontId="3" fillId="3" borderId="9" xfId="0" applyNumberFormat="1" applyFont="1" applyFill="1" applyBorder="1" applyAlignment="1">
      <alignment wrapText="1" shrinkToFit="1"/>
    </xf>
    <xf numFmtId="165" fontId="3" fillId="3" borderId="64" xfId="0" applyNumberFormat="1" applyFont="1" applyFill="1" applyBorder="1" applyAlignment="1">
      <alignment wrapText="1" shrinkToFit="1"/>
    </xf>
    <xf numFmtId="14" fontId="4" fillId="0" borderId="0" xfId="0" applyNumberFormat="1" applyFont="1" applyAlignment="1">
      <alignment horizontal="center" wrapText="1"/>
    </xf>
    <xf numFmtId="170" fontId="2" fillId="3" borderId="18" xfId="0" applyNumberFormat="1" applyFont="1" applyFill="1" applyBorder="1" applyAlignment="1">
      <alignment horizontal="center" vertical="center" wrapText="1" shrinkToFit="1"/>
    </xf>
    <xf numFmtId="4" fontId="2" fillId="3" borderId="18" xfId="0" applyNumberFormat="1" applyFont="1" applyFill="1" applyBorder="1" applyAlignment="1">
      <alignment horizontal="center" vertical="center" wrapText="1" shrinkToFit="1"/>
    </xf>
    <xf numFmtId="0" fontId="4" fillId="0" borderId="0" xfId="0" applyFont="1" applyAlignment="1">
      <alignment horizontal="center" wrapText="1"/>
    </xf>
    <xf numFmtId="170" fontId="4" fillId="0" borderId="19" xfId="0" applyNumberFormat="1" applyFont="1" applyBorder="1" applyAlignment="1">
      <alignment horizontal="center" vertical="center" wrapText="1" shrinkToFit="1"/>
    </xf>
    <xf numFmtId="0" fontId="13" fillId="0" borderId="0" xfId="0" applyFont="1" applyAlignment="1">
      <alignment horizontal="left" vertical="center"/>
    </xf>
    <xf numFmtId="2" fontId="4" fillId="3" borderId="18" xfId="0" applyNumberFormat="1" applyFont="1" applyFill="1" applyBorder="1" applyAlignment="1">
      <alignment horizontal="center" vertical="center" wrapText="1"/>
    </xf>
    <xf numFmtId="3" fontId="19" fillId="3" borderId="19" xfId="0" applyNumberFormat="1" applyFont="1" applyFill="1" applyBorder="1" applyAlignment="1">
      <alignment horizontal="center" vertical="center" wrapText="1" shrinkToFit="1"/>
    </xf>
    <xf numFmtId="0" fontId="2" fillId="2" borderId="30" xfId="0" applyFont="1" applyFill="1" applyBorder="1" applyAlignment="1">
      <alignment horizontal="center" vertical="center" textRotation="90" wrapText="1" shrinkToFit="1"/>
    </xf>
    <xf numFmtId="0" fontId="4" fillId="0" borderId="0" xfId="0" applyFont="1" applyAlignment="1">
      <alignment horizontal="center" wrapText="1"/>
    </xf>
    <xf numFmtId="0" fontId="2" fillId="2" borderId="24" xfId="0" applyFont="1" applyFill="1" applyBorder="1" applyAlignment="1">
      <alignment horizontal="center" vertical="center" textRotation="90" wrapText="1" shrinkToFit="1"/>
    </xf>
    <xf numFmtId="0" fontId="2" fillId="2" borderId="32" xfId="0" applyFont="1" applyFill="1" applyBorder="1" applyAlignment="1">
      <alignment horizontal="center" vertical="center" textRotation="90" wrapText="1" shrinkToFit="1"/>
    </xf>
    <xf numFmtId="0" fontId="2" fillId="2" borderId="29" xfId="0" applyFont="1" applyFill="1" applyBorder="1" applyAlignment="1">
      <alignment horizontal="center" vertical="center" textRotation="90" wrapText="1" shrinkToFit="1"/>
    </xf>
    <xf numFmtId="46" fontId="4" fillId="0" borderId="0" xfId="0" applyNumberFormat="1" applyFont="1" applyAlignment="1">
      <alignment horizontal="center" wrapText="1"/>
    </xf>
    <xf numFmtId="0" fontId="1" fillId="0" borderId="0" xfId="0" applyFont="1"/>
    <xf numFmtId="49" fontId="17" fillId="0" borderId="50" xfId="0" applyNumberFormat="1" applyFont="1" applyBorder="1" applyAlignment="1">
      <alignment vertical="top" wrapText="1"/>
    </xf>
    <xf numFmtId="171" fontId="0" fillId="0" borderId="0" xfId="0" applyNumberFormat="1"/>
    <xf numFmtId="0" fontId="4" fillId="2" borderId="10" xfId="0" applyFont="1" applyFill="1" applyBorder="1" applyAlignment="1">
      <alignment horizontal="center" vertical="center" wrapText="1" shrinkToFit="1"/>
    </xf>
    <xf numFmtId="0" fontId="4" fillId="2" borderId="37" xfId="0" applyFont="1" applyFill="1" applyBorder="1" applyAlignment="1">
      <alignment horizontal="center" vertical="center" wrapText="1" shrinkToFit="1"/>
    </xf>
    <xf numFmtId="0" fontId="13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/>
    </xf>
    <xf numFmtId="0" fontId="4" fillId="0" borderId="38" xfId="0" applyFont="1" applyBorder="1" applyAlignment="1">
      <alignment horizontal="center" wrapText="1" shrinkToFit="1"/>
    </xf>
    <xf numFmtId="0" fontId="4" fillId="0" borderId="40" xfId="0" applyFont="1" applyBorder="1" applyAlignment="1">
      <alignment horizontal="center" wrapText="1" shrinkToFit="1"/>
    </xf>
    <xf numFmtId="0" fontId="4" fillId="0" borderId="13" xfId="0" applyFont="1" applyBorder="1" applyAlignment="1">
      <alignment horizontal="center" wrapText="1" shrinkToFit="1"/>
    </xf>
    <xf numFmtId="0" fontId="4" fillId="0" borderId="45" xfId="0" applyFont="1" applyBorder="1" applyAlignment="1">
      <alignment horizontal="center" wrapText="1" shrinkToFit="1"/>
    </xf>
    <xf numFmtId="0" fontId="10" fillId="9" borderId="52" xfId="0" applyFont="1" applyFill="1" applyBorder="1" applyAlignment="1">
      <alignment horizontal="center" vertical="center" wrapText="1" shrinkToFit="1"/>
    </xf>
    <xf numFmtId="0" fontId="10" fillId="9" borderId="51" xfId="0" applyFont="1" applyFill="1" applyBorder="1" applyAlignment="1">
      <alignment horizontal="center" vertical="center" wrapText="1" shrinkToFit="1"/>
    </xf>
    <xf numFmtId="0" fontId="10" fillId="9" borderId="12" xfId="0" applyFont="1" applyFill="1" applyBorder="1" applyAlignment="1">
      <alignment horizontal="center" vertical="center" wrapText="1" shrinkToFit="1"/>
    </xf>
    <xf numFmtId="0" fontId="10" fillId="9" borderId="13" xfId="0" applyFont="1" applyFill="1" applyBorder="1" applyAlignment="1">
      <alignment horizontal="center" vertical="center" wrapText="1" shrinkToFit="1"/>
    </xf>
    <xf numFmtId="0" fontId="1" fillId="0" borderId="0" xfId="0" applyFont="1" applyAlignment="1">
      <alignment horizontal="center"/>
    </xf>
    <xf numFmtId="0" fontId="2" fillId="5" borderId="65" xfId="0" applyFont="1" applyFill="1" applyBorder="1" applyAlignment="1">
      <alignment horizontal="left" vertical="center" wrapText="1" shrinkToFit="1"/>
    </xf>
    <xf numFmtId="0" fontId="2" fillId="5" borderId="37" xfId="0" applyFont="1" applyFill="1" applyBorder="1" applyAlignment="1">
      <alignment horizontal="left" vertical="center" wrapText="1" shrinkToFit="1"/>
    </xf>
    <xf numFmtId="3" fontId="2" fillId="9" borderId="58" xfId="0" applyNumberFormat="1" applyFont="1" applyFill="1" applyBorder="1" applyAlignment="1">
      <alignment horizontal="center" wrapText="1" shrinkToFit="1"/>
    </xf>
    <xf numFmtId="3" fontId="2" fillId="9" borderId="56" xfId="0" applyNumberFormat="1" applyFont="1" applyFill="1" applyBorder="1" applyAlignment="1">
      <alignment horizontal="center" wrapText="1" shrinkToFit="1"/>
    </xf>
    <xf numFmtId="3" fontId="2" fillId="9" borderId="57" xfId="0" applyNumberFormat="1" applyFont="1" applyFill="1" applyBorder="1" applyAlignment="1">
      <alignment horizontal="center" wrapText="1" shrinkToFit="1"/>
    </xf>
    <xf numFmtId="0" fontId="4" fillId="3" borderId="58" xfId="0" applyFont="1" applyFill="1" applyBorder="1" applyAlignment="1">
      <alignment horizontal="center" wrapText="1" shrinkToFit="1"/>
    </xf>
    <xf numFmtId="0" fontId="4" fillId="3" borderId="56" xfId="0" applyFont="1" applyFill="1" applyBorder="1" applyAlignment="1">
      <alignment horizontal="center" wrapText="1" shrinkToFit="1"/>
    </xf>
    <xf numFmtId="0" fontId="4" fillId="3" borderId="57" xfId="0" applyFont="1" applyFill="1" applyBorder="1" applyAlignment="1">
      <alignment horizontal="center" wrapText="1" shrinkToFit="1"/>
    </xf>
    <xf numFmtId="168" fontId="4" fillId="5" borderId="12" xfId="0" applyNumberFormat="1" applyFont="1" applyFill="1" applyBorder="1" applyAlignment="1">
      <alignment horizontal="center" vertical="center" wrapText="1" shrinkToFit="1"/>
    </xf>
    <xf numFmtId="168" fontId="4" fillId="5" borderId="13" xfId="0" applyNumberFormat="1" applyFont="1" applyFill="1" applyBorder="1" applyAlignment="1">
      <alignment horizontal="center" vertical="center" wrapText="1" shrinkToFit="1"/>
    </xf>
    <xf numFmtId="168" fontId="4" fillId="5" borderId="14" xfId="0" applyNumberFormat="1" applyFont="1" applyFill="1" applyBorder="1" applyAlignment="1">
      <alignment horizontal="center" vertical="center" wrapText="1" shrinkToFit="1"/>
    </xf>
    <xf numFmtId="0" fontId="11" fillId="0" borderId="50" xfId="0" applyFont="1" applyBorder="1" applyAlignment="1">
      <alignment horizontal="right" vertical="center" wrapText="1"/>
    </xf>
    <xf numFmtId="4" fontId="11" fillId="0" borderId="50" xfId="0" applyNumberFormat="1" applyFont="1" applyBorder="1" applyAlignment="1">
      <alignment horizontal="center" vertical="center"/>
    </xf>
    <xf numFmtId="0" fontId="12" fillId="0" borderId="55" xfId="0" applyFont="1" applyBorder="1" applyAlignment="1">
      <alignment horizontal="left" vertical="center"/>
    </xf>
    <xf numFmtId="0" fontId="12" fillId="0" borderId="50" xfId="0" applyFont="1" applyBorder="1" applyAlignment="1">
      <alignment horizontal="left" vertical="center"/>
    </xf>
    <xf numFmtId="4" fontId="12" fillId="0" borderId="50" xfId="0" quotePrefix="1" applyNumberFormat="1" applyFont="1" applyBorder="1" applyAlignment="1">
      <alignment horizontal="center" vertical="center"/>
    </xf>
    <xf numFmtId="4" fontId="12" fillId="0" borderId="50" xfId="0" applyNumberFormat="1" applyFont="1" applyBorder="1" applyAlignment="1">
      <alignment horizontal="center" vertical="center"/>
    </xf>
    <xf numFmtId="0" fontId="11" fillId="0" borderId="50" xfId="0" applyFont="1" applyBorder="1" applyAlignment="1">
      <alignment horizontal="center" vertical="center" textRotation="90" wrapText="1"/>
    </xf>
    <xf numFmtId="0" fontId="16" fillId="0" borderId="50" xfId="0" applyFont="1" applyBorder="1" applyAlignment="1">
      <alignment horizontal="center" vertical="center"/>
    </xf>
    <xf numFmtId="0" fontId="12" fillId="0" borderId="50" xfId="0" applyFont="1" applyBorder="1" applyAlignment="1">
      <alignment horizontal="left" vertical="center" wrapText="1"/>
    </xf>
    <xf numFmtId="49" fontId="17" fillId="0" borderId="19" xfId="0" applyNumberFormat="1" applyFont="1" applyBorder="1" applyAlignment="1">
      <alignment horizontal="center" vertical="top" wrapText="1"/>
    </xf>
    <xf numFmtId="49" fontId="17" fillId="0" borderId="56" xfId="0" applyNumberFormat="1" applyFont="1" applyBorder="1" applyAlignment="1">
      <alignment horizontal="center" vertical="top" wrapText="1"/>
    </xf>
    <xf numFmtId="49" fontId="17" fillId="0" borderId="55" xfId="0" applyNumberFormat="1" applyFont="1" applyBorder="1" applyAlignment="1">
      <alignment horizontal="center" vertical="top" wrapText="1"/>
    </xf>
    <xf numFmtId="0" fontId="12" fillId="0" borderId="47" xfId="0" applyFont="1" applyBorder="1" applyAlignment="1">
      <alignment horizontal="left" vertical="center" wrapText="1"/>
    </xf>
    <xf numFmtId="0" fontId="12" fillId="0" borderId="47" xfId="0" applyFont="1" applyBorder="1" applyAlignment="1">
      <alignment horizontal="left" vertical="center"/>
    </xf>
    <xf numFmtId="0" fontId="3" fillId="3" borderId="62" xfId="0" applyFont="1" applyFill="1" applyBorder="1" applyAlignment="1">
      <alignment horizontal="center" wrapText="1" shrinkToFit="1"/>
    </xf>
    <xf numFmtId="0" fontId="3" fillId="3" borderId="63" xfId="0" applyFont="1" applyFill="1" applyBorder="1" applyAlignment="1">
      <alignment horizontal="center" wrapText="1" shrinkToFit="1"/>
    </xf>
    <xf numFmtId="0" fontId="4" fillId="7" borderId="2" xfId="0" applyFont="1" applyFill="1" applyBorder="1" applyAlignment="1">
      <alignment horizontal="left" vertical="center" wrapText="1" shrinkToFit="1"/>
    </xf>
    <xf numFmtId="0" fontId="4" fillId="7" borderId="3" xfId="0" applyFont="1" applyFill="1" applyBorder="1" applyAlignment="1">
      <alignment horizontal="left" vertical="center" wrapText="1" shrinkToFit="1"/>
    </xf>
    <xf numFmtId="0" fontId="4" fillId="7" borderId="4" xfId="0" applyFont="1" applyFill="1" applyBorder="1" applyAlignment="1">
      <alignment horizontal="left" vertical="center" wrapText="1" shrinkToFit="1"/>
    </xf>
    <xf numFmtId="0" fontId="2" fillId="2" borderId="25" xfId="0" applyFont="1" applyFill="1" applyBorder="1" applyAlignment="1">
      <alignment horizontal="center" vertical="center" wrapText="1" shrinkToFit="1"/>
    </xf>
    <xf numFmtId="0" fontId="2" fillId="2" borderId="26" xfId="0" applyFont="1" applyFill="1" applyBorder="1" applyAlignment="1">
      <alignment horizontal="center" vertical="center" wrapText="1" shrinkToFit="1"/>
    </xf>
    <xf numFmtId="0" fontId="2" fillId="2" borderId="27" xfId="0" applyFont="1" applyFill="1" applyBorder="1" applyAlignment="1">
      <alignment horizontal="center" vertical="center" wrapText="1" shrinkToFit="1"/>
    </xf>
    <xf numFmtId="0" fontId="2" fillId="2" borderId="21" xfId="0" applyFont="1" applyFill="1" applyBorder="1" applyAlignment="1">
      <alignment horizontal="center" vertical="center" textRotation="90" wrapText="1" shrinkToFit="1"/>
    </xf>
    <xf numFmtId="0" fontId="2" fillId="2" borderId="1" xfId="0" applyFont="1" applyFill="1" applyBorder="1" applyAlignment="1">
      <alignment horizontal="center" vertical="center" textRotation="90" wrapText="1"/>
    </xf>
    <xf numFmtId="0" fontId="2" fillId="2" borderId="10" xfId="0" applyFont="1" applyFill="1" applyBorder="1" applyAlignment="1">
      <alignment horizontal="center" vertical="center" textRotation="90" wrapText="1"/>
    </xf>
    <xf numFmtId="0" fontId="2" fillId="2" borderId="35" xfId="0" applyFont="1" applyFill="1" applyBorder="1" applyAlignment="1">
      <alignment horizontal="center" vertical="center" textRotation="90" wrapText="1"/>
    </xf>
    <xf numFmtId="0" fontId="2" fillId="2" borderId="20" xfId="0" applyFont="1" applyFill="1" applyBorder="1" applyAlignment="1">
      <alignment horizontal="center" vertical="center" wrapText="1" shrinkToFit="1"/>
    </xf>
    <xf numFmtId="0" fontId="2" fillId="2" borderId="7" xfId="0" applyFont="1" applyFill="1" applyBorder="1" applyAlignment="1">
      <alignment horizontal="center" vertical="center" textRotation="90" wrapText="1" shrinkToFit="1"/>
    </xf>
    <xf numFmtId="0" fontId="2" fillId="2" borderId="31" xfId="0" applyFont="1" applyFill="1" applyBorder="1" applyAlignment="1">
      <alignment horizontal="center" vertical="center" textRotation="90" wrapText="1" shrinkToFit="1"/>
    </xf>
    <xf numFmtId="0" fontId="2" fillId="2" borderId="22" xfId="0" applyFont="1" applyFill="1" applyBorder="1" applyAlignment="1">
      <alignment horizontal="center" vertical="center" textRotation="90" wrapText="1" shrinkToFit="1"/>
    </xf>
    <xf numFmtId="0" fontId="2" fillId="2" borderId="23" xfId="0" applyFont="1" applyFill="1" applyBorder="1" applyAlignment="1">
      <alignment horizontal="center" vertical="center" textRotation="90" wrapText="1" shrinkToFit="1"/>
    </xf>
    <xf numFmtId="0" fontId="2" fillId="2" borderId="30" xfId="0" applyFont="1" applyFill="1" applyBorder="1" applyAlignment="1">
      <alignment horizontal="center" vertical="center" textRotation="90" wrapText="1" shrinkToFit="1"/>
    </xf>
    <xf numFmtId="0" fontId="2" fillId="2" borderId="1" xfId="0" applyFont="1" applyFill="1" applyBorder="1" applyAlignment="1">
      <alignment horizontal="center" vertical="center" wrapText="1" shrinkToFit="1"/>
    </xf>
    <xf numFmtId="0" fontId="2" fillId="2" borderId="10" xfId="0" applyFont="1" applyFill="1" applyBorder="1" applyAlignment="1">
      <alignment horizontal="center" vertical="center" wrapText="1" shrinkToFit="1"/>
    </xf>
    <xf numFmtId="0" fontId="2" fillId="2" borderId="37" xfId="0" applyFont="1" applyFill="1" applyBorder="1" applyAlignment="1">
      <alignment horizontal="center" vertical="center" wrapText="1" shrinkToFi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2" fillId="2" borderId="2" xfId="0" applyFont="1" applyFill="1" applyBorder="1" applyAlignment="1">
      <alignment horizontal="center" vertical="center" textRotation="90" wrapText="1"/>
    </xf>
    <xf numFmtId="0" fontId="2" fillId="2" borderId="11" xfId="0" applyFont="1" applyFill="1" applyBorder="1" applyAlignment="1">
      <alignment horizontal="center" vertical="center" textRotation="90" wrapText="1"/>
    </xf>
    <xf numFmtId="0" fontId="2" fillId="2" borderId="7" xfId="0" applyFont="1" applyFill="1" applyBorder="1" applyAlignment="1">
      <alignment horizontal="center" vertical="center" textRotation="90" wrapText="1"/>
    </xf>
    <xf numFmtId="0" fontId="2" fillId="2" borderId="17" xfId="0" applyFont="1" applyFill="1" applyBorder="1" applyAlignment="1">
      <alignment horizontal="center" vertical="center" textRotation="90" wrapText="1"/>
    </xf>
    <xf numFmtId="0" fontId="2" fillId="2" borderId="20" xfId="0" applyFont="1" applyFill="1" applyBorder="1" applyAlignment="1">
      <alignment horizontal="center" vertical="center" textRotation="90" wrapText="1" shrinkToFit="1"/>
    </xf>
    <xf numFmtId="0" fontId="2" fillId="2" borderId="24" xfId="0" applyFont="1" applyFill="1" applyBorder="1" applyAlignment="1">
      <alignment horizontal="center" vertical="center" textRotation="90" wrapText="1" shrinkToFit="1"/>
    </xf>
    <xf numFmtId="0" fontId="2" fillId="2" borderId="32" xfId="0" applyFont="1" applyFill="1" applyBorder="1" applyAlignment="1">
      <alignment horizontal="center" vertical="center" textRotation="90" wrapText="1" shrinkToFit="1"/>
    </xf>
    <xf numFmtId="0" fontId="7" fillId="2" borderId="28" xfId="0" applyFont="1" applyFill="1" applyBorder="1" applyAlignment="1">
      <alignment horizontal="center" vertical="center" textRotation="90" wrapText="1" shrinkToFit="1"/>
    </xf>
    <xf numFmtId="0" fontId="7" fillId="2" borderId="34" xfId="0" applyFont="1" applyFill="1" applyBorder="1" applyAlignment="1">
      <alignment horizontal="center" vertical="center" textRotation="90" wrapText="1" shrinkToFit="1"/>
    </xf>
    <xf numFmtId="0" fontId="2" fillId="2" borderId="29" xfId="0" applyFont="1" applyFill="1" applyBorder="1" applyAlignment="1">
      <alignment horizontal="center" vertical="center" textRotation="90" wrapText="1" shrinkToFit="1"/>
    </xf>
    <xf numFmtId="0" fontId="2" fillId="2" borderId="36" xfId="0" applyFont="1" applyFill="1" applyBorder="1" applyAlignment="1">
      <alignment horizontal="center" vertical="center" textRotation="90" wrapText="1" shrinkToFi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5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 shrinkToFit="1"/>
    </xf>
    <xf numFmtId="0" fontId="2" fillId="2" borderId="11" xfId="0" applyFont="1" applyFill="1" applyBorder="1" applyAlignment="1">
      <alignment horizontal="center" vertical="center" wrapText="1" shrinkToFit="1"/>
    </xf>
    <xf numFmtId="0" fontId="2" fillId="2" borderId="12" xfId="0" applyFont="1" applyFill="1" applyBorder="1" applyAlignment="1">
      <alignment horizontal="center" vertical="center" wrapText="1" shrinkToFit="1"/>
    </xf>
    <xf numFmtId="0" fontId="2" fillId="2" borderId="17" xfId="0" applyFont="1" applyFill="1" applyBorder="1" applyAlignment="1">
      <alignment horizontal="center" vertical="center" textRotation="90" wrapText="1" shrinkToFi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3:AL54"/>
  <sheetViews>
    <sheetView tabSelected="1" topLeftCell="L12" zoomScale="80" zoomScaleNormal="80" workbookViewId="0">
      <selection activeCell="AG32" sqref="AG32"/>
    </sheetView>
  </sheetViews>
  <sheetFormatPr defaultRowHeight="15" x14ac:dyDescent="0.25"/>
  <cols>
    <col min="2" max="2" width="10.85546875" bestFit="1" customWidth="1"/>
    <col min="3" max="3" width="26.42578125" customWidth="1"/>
  </cols>
  <sheetData>
    <row r="3" spans="2:38" x14ac:dyDescent="0.25">
      <c r="D3" s="254"/>
    </row>
    <row r="4" spans="2:38" x14ac:dyDescent="0.25">
      <c r="B4" s="1"/>
      <c r="C4" s="326" t="s">
        <v>65</v>
      </c>
      <c r="D4" s="326"/>
      <c r="E4" s="327"/>
      <c r="F4" s="327"/>
      <c r="G4" s="327"/>
      <c r="H4" s="327"/>
      <c r="I4" s="327"/>
      <c r="J4" s="327"/>
      <c r="K4" s="327"/>
      <c r="L4" s="327"/>
      <c r="M4" s="327"/>
      <c r="N4" s="327"/>
      <c r="O4" s="327"/>
      <c r="P4" s="327"/>
      <c r="Q4" s="327"/>
      <c r="R4" s="327"/>
      <c r="S4" s="327"/>
      <c r="T4" s="327"/>
      <c r="U4" s="327"/>
      <c r="V4" s="327"/>
      <c r="W4" s="327"/>
      <c r="X4" s="327"/>
      <c r="Y4" s="327"/>
      <c r="Z4" s="327"/>
      <c r="AA4" s="327"/>
      <c r="AB4" s="327"/>
      <c r="AC4" s="327"/>
      <c r="AD4" s="327"/>
      <c r="AE4" s="327"/>
      <c r="AF4" s="327"/>
      <c r="AG4" s="327"/>
      <c r="AH4" s="327"/>
      <c r="AI4" s="327"/>
      <c r="AJ4" s="327"/>
      <c r="AK4" s="243"/>
    </row>
    <row r="5" spans="2:38" ht="15.75" thickBot="1" x14ac:dyDescent="0.3">
      <c r="B5" s="240">
        <v>44705</v>
      </c>
      <c r="C5" s="249" t="s">
        <v>92</v>
      </c>
      <c r="D5" s="2" t="s">
        <v>91</v>
      </c>
      <c r="E5" s="253"/>
      <c r="F5" s="249"/>
      <c r="G5" s="249"/>
      <c r="H5" s="249"/>
      <c r="I5" s="249"/>
      <c r="J5" s="249"/>
      <c r="K5" s="249"/>
      <c r="L5" s="249"/>
      <c r="M5" s="249"/>
      <c r="N5" s="249"/>
      <c r="O5" s="249"/>
      <c r="P5" s="249"/>
      <c r="Q5" s="249"/>
      <c r="R5" s="249"/>
      <c r="S5" s="249"/>
      <c r="T5" s="249"/>
      <c r="U5" s="249"/>
      <c r="V5" s="249"/>
      <c r="W5" s="249"/>
      <c r="X5" s="249"/>
      <c r="Y5" s="249"/>
      <c r="Z5" s="249"/>
      <c r="AA5" s="249"/>
      <c r="AB5" s="249"/>
      <c r="AC5" s="249"/>
      <c r="AD5" s="249"/>
      <c r="AE5" s="249"/>
      <c r="AF5" s="249"/>
      <c r="AG5" s="249"/>
      <c r="AI5" s="2"/>
      <c r="AJ5" s="249"/>
      <c r="AK5" s="249"/>
    </row>
    <row r="6" spans="2:38" ht="15" customHeight="1" x14ac:dyDescent="0.25">
      <c r="B6" s="313" t="s">
        <v>0</v>
      </c>
      <c r="C6" s="342" t="s">
        <v>1</v>
      </c>
      <c r="D6" s="316" t="s">
        <v>2</v>
      </c>
      <c r="E6" s="317"/>
      <c r="F6" s="317"/>
      <c r="G6" s="318"/>
      <c r="H6" s="322" t="s">
        <v>3</v>
      </c>
      <c r="I6" s="323"/>
      <c r="J6" s="323"/>
      <c r="K6" s="316" t="s">
        <v>74</v>
      </c>
      <c r="L6" s="317"/>
      <c r="M6" s="317"/>
      <c r="N6" s="317"/>
      <c r="O6" s="317"/>
      <c r="P6" s="317"/>
      <c r="Q6" s="317"/>
      <c r="R6" s="317"/>
      <c r="S6" s="317"/>
      <c r="T6" s="317"/>
      <c r="U6" s="317"/>
      <c r="V6" s="317"/>
      <c r="W6" s="317"/>
      <c r="X6" s="318"/>
      <c r="Y6" s="316" t="s">
        <v>4</v>
      </c>
      <c r="Z6" s="317"/>
      <c r="AA6" s="317"/>
      <c r="AB6" s="317"/>
      <c r="AC6" s="317"/>
      <c r="AD6" s="317"/>
      <c r="AE6" s="318"/>
      <c r="AF6" s="328" t="s">
        <v>5</v>
      </c>
      <c r="AG6" s="330" t="s">
        <v>6</v>
      </c>
      <c r="AH6" s="304" t="s">
        <v>84</v>
      </c>
      <c r="AI6" s="316" t="s">
        <v>7</v>
      </c>
      <c r="AJ6" s="317"/>
      <c r="AK6" s="318"/>
      <c r="AL6" s="304" t="s">
        <v>8</v>
      </c>
    </row>
    <row r="7" spans="2:38" ht="67.5" customHeight="1" thickBot="1" x14ac:dyDescent="0.3">
      <c r="B7" s="314"/>
      <c r="C7" s="343"/>
      <c r="D7" s="319"/>
      <c r="E7" s="320"/>
      <c r="F7" s="320"/>
      <c r="G7" s="321"/>
      <c r="H7" s="324"/>
      <c r="I7" s="325"/>
      <c r="J7" s="325"/>
      <c r="K7" s="319"/>
      <c r="L7" s="320"/>
      <c r="M7" s="320"/>
      <c r="N7" s="320"/>
      <c r="O7" s="320"/>
      <c r="P7" s="320"/>
      <c r="Q7" s="320"/>
      <c r="R7" s="320"/>
      <c r="S7" s="320"/>
      <c r="T7" s="320"/>
      <c r="U7" s="320"/>
      <c r="V7" s="320"/>
      <c r="W7" s="320"/>
      <c r="X7" s="321"/>
      <c r="Y7" s="319"/>
      <c r="Z7" s="320"/>
      <c r="AA7" s="320"/>
      <c r="AB7" s="320"/>
      <c r="AC7" s="320"/>
      <c r="AD7" s="320"/>
      <c r="AE7" s="321"/>
      <c r="AF7" s="329"/>
      <c r="AG7" s="331"/>
      <c r="AH7" s="305"/>
      <c r="AI7" s="339"/>
      <c r="AJ7" s="340"/>
      <c r="AK7" s="341"/>
      <c r="AL7" s="305"/>
    </row>
    <row r="8" spans="2:38" ht="63" customHeight="1" x14ac:dyDescent="0.25">
      <c r="B8" s="314"/>
      <c r="C8" s="343"/>
      <c r="D8" s="307" t="s">
        <v>9</v>
      </c>
      <c r="E8" s="303" t="s">
        <v>10</v>
      </c>
      <c r="F8" s="307" t="s">
        <v>11</v>
      </c>
      <c r="G8" s="308" t="s">
        <v>12</v>
      </c>
      <c r="H8" s="310" t="s">
        <v>13</v>
      </c>
      <c r="I8" s="311" t="s">
        <v>14</v>
      </c>
      <c r="J8" s="311" t="s">
        <v>15</v>
      </c>
      <c r="K8" s="332" t="s">
        <v>16</v>
      </c>
      <c r="L8" s="303" t="s">
        <v>17</v>
      </c>
      <c r="M8" s="303" t="s">
        <v>18</v>
      </c>
      <c r="N8" s="333" t="s">
        <v>19</v>
      </c>
      <c r="O8" s="303" t="s">
        <v>20</v>
      </c>
      <c r="P8" s="333" t="s">
        <v>21</v>
      </c>
      <c r="Q8" s="250"/>
      <c r="R8" s="333" t="s">
        <v>22</v>
      </c>
      <c r="S8" s="303" t="s">
        <v>23</v>
      </c>
      <c r="T8" s="303" t="s">
        <v>24</v>
      </c>
      <c r="U8" s="333" t="s">
        <v>25</v>
      </c>
      <c r="V8" s="333" t="s">
        <v>26</v>
      </c>
      <c r="W8" s="303" t="s">
        <v>27</v>
      </c>
      <c r="X8" s="345" t="s">
        <v>28</v>
      </c>
      <c r="Y8" s="300" t="s">
        <v>29</v>
      </c>
      <c r="Z8" s="301"/>
      <c r="AA8" s="302" t="s">
        <v>30</v>
      </c>
      <c r="AB8" s="302"/>
      <c r="AC8" s="302" t="s">
        <v>31</v>
      </c>
      <c r="AD8" s="302"/>
      <c r="AE8" s="335" t="s">
        <v>32</v>
      </c>
      <c r="AF8" s="329"/>
      <c r="AG8" s="331"/>
      <c r="AH8" s="305"/>
      <c r="AI8" s="337" t="s">
        <v>33</v>
      </c>
      <c r="AJ8" s="312" t="s">
        <v>34</v>
      </c>
      <c r="AK8" s="333" t="s">
        <v>86</v>
      </c>
      <c r="AL8" s="305"/>
    </row>
    <row r="9" spans="2:38" ht="87" thickBot="1" x14ac:dyDescent="0.3">
      <c r="B9" s="314"/>
      <c r="C9" s="344"/>
      <c r="D9" s="307"/>
      <c r="E9" s="303"/>
      <c r="F9" s="307"/>
      <c r="G9" s="309"/>
      <c r="H9" s="310"/>
      <c r="I9" s="311"/>
      <c r="J9" s="311"/>
      <c r="K9" s="332"/>
      <c r="L9" s="303"/>
      <c r="M9" s="303"/>
      <c r="N9" s="334"/>
      <c r="O9" s="303"/>
      <c r="P9" s="334"/>
      <c r="Q9" s="251" t="s">
        <v>67</v>
      </c>
      <c r="R9" s="334"/>
      <c r="S9" s="303"/>
      <c r="T9" s="303"/>
      <c r="U9" s="334"/>
      <c r="V9" s="334"/>
      <c r="W9" s="303"/>
      <c r="X9" s="345"/>
      <c r="Y9" s="252" t="s">
        <v>35</v>
      </c>
      <c r="Z9" s="248" t="s">
        <v>36</v>
      </c>
      <c r="AA9" s="3" t="s">
        <v>35</v>
      </c>
      <c r="AB9" s="3" t="s">
        <v>37</v>
      </c>
      <c r="AC9" s="3" t="s">
        <v>88</v>
      </c>
      <c r="AD9" s="3" t="s">
        <v>89</v>
      </c>
      <c r="AE9" s="336"/>
      <c r="AF9" s="329"/>
      <c r="AG9" s="331"/>
      <c r="AH9" s="306"/>
      <c r="AI9" s="338"/>
      <c r="AJ9" s="311"/>
      <c r="AK9" s="334"/>
      <c r="AL9" s="306"/>
    </row>
    <row r="10" spans="2:38" ht="15.75" thickBot="1" x14ac:dyDescent="0.3">
      <c r="B10" s="315"/>
      <c r="C10" s="4">
        <v>1</v>
      </c>
      <c r="D10" s="5">
        <f>C10+1</f>
        <v>2</v>
      </c>
      <c r="E10" s="6">
        <f t="shared" ref="E10:AJ10" si="0">D10+1</f>
        <v>3</v>
      </c>
      <c r="F10" s="7">
        <f t="shared" si="0"/>
        <v>4</v>
      </c>
      <c r="G10" s="8">
        <f t="shared" si="0"/>
        <v>5</v>
      </c>
      <c r="H10" s="4">
        <f t="shared" si="0"/>
        <v>6</v>
      </c>
      <c r="I10" s="7">
        <f t="shared" si="0"/>
        <v>7</v>
      </c>
      <c r="J10" s="8">
        <f t="shared" si="0"/>
        <v>8</v>
      </c>
      <c r="K10" s="5">
        <f t="shared" si="0"/>
        <v>9</v>
      </c>
      <c r="L10" s="6">
        <f t="shared" si="0"/>
        <v>10</v>
      </c>
      <c r="M10" s="7">
        <f t="shared" si="0"/>
        <v>11</v>
      </c>
      <c r="N10" s="6">
        <f t="shared" si="0"/>
        <v>12</v>
      </c>
      <c r="O10" s="7">
        <f t="shared" si="0"/>
        <v>13</v>
      </c>
      <c r="P10" s="6">
        <f t="shared" si="0"/>
        <v>14</v>
      </c>
      <c r="Q10" s="9">
        <v>15</v>
      </c>
      <c r="R10" s="8">
        <v>16</v>
      </c>
      <c r="S10" s="6">
        <v>17</v>
      </c>
      <c r="T10" s="7">
        <f t="shared" si="0"/>
        <v>18</v>
      </c>
      <c r="U10" s="6">
        <f>T10+1</f>
        <v>19</v>
      </c>
      <c r="V10" s="9">
        <v>20</v>
      </c>
      <c r="W10" s="8">
        <v>21</v>
      </c>
      <c r="X10" s="8">
        <f>W10+1</f>
        <v>22</v>
      </c>
      <c r="Y10" s="4">
        <f t="shared" si="0"/>
        <v>23</v>
      </c>
      <c r="Z10" s="7">
        <f t="shared" si="0"/>
        <v>24</v>
      </c>
      <c r="AA10" s="6">
        <f t="shared" si="0"/>
        <v>25</v>
      </c>
      <c r="AB10" s="7">
        <f t="shared" si="0"/>
        <v>26</v>
      </c>
      <c r="AC10" s="6">
        <f t="shared" si="0"/>
        <v>27</v>
      </c>
      <c r="AD10" s="7">
        <f t="shared" si="0"/>
        <v>28</v>
      </c>
      <c r="AE10" s="8">
        <f t="shared" si="0"/>
        <v>29</v>
      </c>
      <c r="AF10" s="5">
        <f t="shared" si="0"/>
        <v>30</v>
      </c>
      <c r="AG10" s="8">
        <f>AF10+1</f>
        <v>31</v>
      </c>
      <c r="AH10" s="5">
        <f t="shared" si="0"/>
        <v>32</v>
      </c>
      <c r="AI10" s="4">
        <v>33</v>
      </c>
      <c r="AJ10" s="10">
        <f t="shared" si="0"/>
        <v>34</v>
      </c>
      <c r="AK10" s="6">
        <v>35</v>
      </c>
      <c r="AL10" s="5">
        <v>36</v>
      </c>
    </row>
    <row r="11" spans="2:38" ht="15.75" customHeight="1" thickBot="1" x14ac:dyDescent="0.3">
      <c r="B11" s="261" t="s">
        <v>38</v>
      </c>
      <c r="C11" s="262"/>
      <c r="D11" s="262"/>
      <c r="E11" s="262"/>
      <c r="F11" s="262"/>
      <c r="G11" s="262"/>
      <c r="H11" s="262"/>
      <c r="I11" s="262"/>
      <c r="J11" s="262"/>
      <c r="K11" s="262"/>
      <c r="L11" s="262"/>
      <c r="M11" s="262"/>
      <c r="N11" s="262"/>
      <c r="O11" s="262"/>
      <c r="P11" s="262"/>
      <c r="Q11" s="262"/>
      <c r="R11" s="262"/>
      <c r="S11" s="262"/>
      <c r="T11" s="262"/>
      <c r="U11" s="262"/>
      <c r="V11" s="263"/>
      <c r="W11" s="262"/>
      <c r="X11" s="262"/>
      <c r="Y11" s="262"/>
      <c r="Z11" s="262"/>
      <c r="AA11" s="262"/>
      <c r="AB11" s="262"/>
      <c r="AC11" s="262"/>
      <c r="AD11" s="262"/>
      <c r="AE11" s="262"/>
      <c r="AF11" s="262"/>
      <c r="AG11" s="262"/>
      <c r="AH11" s="262"/>
      <c r="AI11" s="262"/>
      <c r="AJ11" s="262"/>
      <c r="AK11" s="262"/>
      <c r="AL11" s="264"/>
    </row>
    <row r="12" spans="2:38" ht="15.75" customHeight="1" x14ac:dyDescent="0.25">
      <c r="B12" s="11">
        <v>1</v>
      </c>
      <c r="C12" s="12" t="s">
        <v>39</v>
      </c>
      <c r="D12" s="13">
        <f>1.27</f>
        <v>1.27</v>
      </c>
      <c r="E12" s="14"/>
      <c r="F12" s="234">
        <v>1.2</v>
      </c>
      <c r="G12" s="15"/>
      <c r="H12" s="16"/>
      <c r="I12" s="17"/>
      <c r="J12" s="18"/>
      <c r="K12" s="19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15"/>
      <c r="Y12" s="19"/>
      <c r="Z12" s="20"/>
      <c r="AA12" s="20"/>
      <c r="AB12" s="20"/>
      <c r="AC12" s="20"/>
      <c r="AD12" s="20"/>
      <c r="AE12" s="15"/>
      <c r="AF12" s="19"/>
      <c r="AG12" s="21"/>
      <c r="AH12" s="22"/>
      <c r="AI12" s="19"/>
      <c r="AJ12" s="15"/>
      <c r="AK12" s="15"/>
      <c r="AL12" s="22"/>
    </row>
    <row r="13" spans="2:38" x14ac:dyDescent="0.25">
      <c r="B13" s="11">
        <f>B12+1</f>
        <v>2</v>
      </c>
      <c r="C13" s="23"/>
      <c r="D13" s="24"/>
      <c r="E13" s="25"/>
      <c r="F13" s="26"/>
      <c r="G13" s="27"/>
      <c r="H13" s="28"/>
      <c r="I13" s="27"/>
      <c r="J13" s="29"/>
      <c r="K13" s="30"/>
      <c r="L13" s="31"/>
      <c r="M13" s="32"/>
      <c r="N13" s="32"/>
      <c r="O13" s="31"/>
      <c r="P13" s="31"/>
      <c r="Q13" s="31"/>
      <c r="R13" s="31"/>
      <c r="S13" s="31"/>
      <c r="T13" s="31"/>
      <c r="U13" s="31"/>
      <c r="V13" s="31"/>
      <c r="W13" s="31"/>
      <c r="X13" s="33"/>
      <c r="Y13" s="34"/>
      <c r="Z13" s="34"/>
      <c r="AA13" s="34"/>
      <c r="AB13" s="34"/>
      <c r="AC13" s="34"/>
      <c r="AD13" s="35"/>
      <c r="AE13" s="36"/>
      <c r="AF13" s="37"/>
      <c r="AG13" s="38"/>
      <c r="AH13" s="39"/>
      <c r="AI13" s="30"/>
      <c r="AJ13" s="40">
        <f>I13*1.19*0.8*1.086</f>
        <v>0</v>
      </c>
      <c r="AK13" s="40"/>
      <c r="AL13" s="39"/>
    </row>
    <row r="14" spans="2:38" ht="17.25" customHeight="1" x14ac:dyDescent="0.25">
      <c r="B14" s="11">
        <f>B13+1</f>
        <v>3</v>
      </c>
      <c r="C14" s="41" t="s">
        <v>40</v>
      </c>
      <c r="D14" s="42"/>
      <c r="E14" s="236">
        <v>38000</v>
      </c>
      <c r="F14" s="44"/>
      <c r="G14" s="235">
        <v>25479</v>
      </c>
      <c r="H14" s="46">
        <v>28</v>
      </c>
      <c r="I14" s="235">
        <v>567</v>
      </c>
      <c r="J14" s="237">
        <v>567</v>
      </c>
      <c r="K14" s="47">
        <v>180</v>
      </c>
      <c r="L14" s="34">
        <f>J14*K14/1000</f>
        <v>102.06</v>
      </c>
      <c r="M14" s="48"/>
      <c r="N14" s="48"/>
      <c r="O14" s="34">
        <f>J14*K14/1000</f>
        <v>102.06</v>
      </c>
      <c r="P14" s="34"/>
      <c r="Q14" s="34"/>
      <c r="R14" s="34"/>
      <c r="S14" s="34"/>
      <c r="T14" s="34"/>
      <c r="U14" s="34"/>
      <c r="V14" s="34"/>
      <c r="W14" s="34"/>
      <c r="X14" s="49"/>
      <c r="Y14" s="34">
        <v>36</v>
      </c>
      <c r="Z14" s="34">
        <f>Y14*E14/1000000/1.163</f>
        <v>1.1762682717110922</v>
      </c>
      <c r="AA14" s="34">
        <v>0</v>
      </c>
      <c r="AB14" s="34">
        <v>0</v>
      </c>
      <c r="AC14" s="34">
        <v>32.549999999999997</v>
      </c>
      <c r="AD14" s="50">
        <f>AC14*G14/1.163/1000000</f>
        <v>0.71310528804815132</v>
      </c>
      <c r="AE14" s="51">
        <f>Z14+AB14+AD14</f>
        <v>1.8893735597592434</v>
      </c>
      <c r="AF14" s="52">
        <f>AE14*1000000/8000/0.9</f>
        <v>262.41299441100603</v>
      </c>
      <c r="AG14" s="53"/>
      <c r="AH14" s="39"/>
      <c r="AI14" s="246">
        <v>21.8</v>
      </c>
      <c r="AJ14" s="54">
        <f>(G14*AI14/1000)</f>
        <v>555.44220000000007</v>
      </c>
      <c r="AK14" s="54"/>
      <c r="AL14" s="39"/>
    </row>
    <row r="15" spans="2:38" ht="23.25" customHeight="1" x14ac:dyDescent="0.25">
      <c r="B15" s="11">
        <f t="shared" ref="B15:B35" si="1">B14+1</f>
        <v>4</v>
      </c>
      <c r="C15" s="55" t="s">
        <v>41</v>
      </c>
      <c r="D15" s="42"/>
      <c r="E15" s="25"/>
      <c r="F15" s="44"/>
      <c r="G15" s="56"/>
      <c r="H15" s="46"/>
      <c r="I15" s="56"/>
      <c r="J15" s="57"/>
      <c r="K15" s="47"/>
      <c r="L15" s="34"/>
      <c r="M15" s="48"/>
      <c r="N15" s="48"/>
      <c r="O15" s="34"/>
      <c r="P15" s="34"/>
      <c r="Q15" s="34"/>
      <c r="R15" s="34"/>
      <c r="S15" s="34"/>
      <c r="T15" s="34"/>
      <c r="U15" s="34"/>
      <c r="V15" s="34"/>
      <c r="W15" s="34"/>
      <c r="X15" s="49"/>
      <c r="Y15" s="34"/>
      <c r="Z15" s="34"/>
      <c r="AA15" s="34"/>
      <c r="AB15" s="34"/>
      <c r="AC15" s="34"/>
      <c r="AD15" s="50"/>
      <c r="AE15" s="51"/>
      <c r="AF15" s="52"/>
      <c r="AG15" s="38"/>
      <c r="AH15" s="39"/>
      <c r="AI15" s="30"/>
      <c r="AJ15" s="54">
        <f>G14*AI15/1000</f>
        <v>0</v>
      </c>
      <c r="AK15" s="54"/>
      <c r="AL15" s="39"/>
    </row>
    <row r="16" spans="2:38" x14ac:dyDescent="0.25">
      <c r="B16" s="11">
        <f t="shared" si="1"/>
        <v>5</v>
      </c>
      <c r="C16" s="55" t="s">
        <v>42</v>
      </c>
      <c r="D16" s="42"/>
      <c r="E16" s="25">
        <f>1396+229</f>
        <v>1625</v>
      </c>
      <c r="F16" s="44"/>
      <c r="G16" s="235">
        <v>1625</v>
      </c>
      <c r="H16" s="46"/>
      <c r="I16" s="56"/>
      <c r="J16" s="57">
        <f>G16/4.5</f>
        <v>361.11111111111109</v>
      </c>
      <c r="K16" s="47">
        <v>12</v>
      </c>
      <c r="L16" s="34">
        <f t="shared" ref="L16:L24" si="2">J16*K16/1000</f>
        <v>4.333333333333333</v>
      </c>
      <c r="M16" s="48"/>
      <c r="N16" s="48"/>
      <c r="O16" s="34">
        <f t="shared" ref="O16:O26" si="3">J16*K16/1000</f>
        <v>4.333333333333333</v>
      </c>
      <c r="P16" s="34"/>
      <c r="Q16" s="34"/>
      <c r="R16" s="34"/>
      <c r="S16" s="34"/>
      <c r="T16" s="34"/>
      <c r="U16" s="34"/>
      <c r="V16" s="34"/>
      <c r="W16" s="34"/>
      <c r="X16" s="49"/>
      <c r="Y16" s="34">
        <v>70</v>
      </c>
      <c r="Z16" s="34">
        <f>Y16*E16/1000000/1.163</f>
        <v>9.7807394668959588E-2</v>
      </c>
      <c r="AA16" s="34">
        <v>0</v>
      </c>
      <c r="AB16" s="34">
        <f>AA16*E16*H16/1000000/1.163</f>
        <v>0</v>
      </c>
      <c r="AC16" s="34">
        <v>3</v>
      </c>
      <c r="AD16" s="50">
        <f>AC16*E16/1.163/1000000</f>
        <v>4.1917454858125536E-3</v>
      </c>
      <c r="AE16" s="51">
        <f>Z16+AB16+AD16</f>
        <v>0.10199914015477214</v>
      </c>
      <c r="AF16" s="52">
        <f t="shared" ref="AF16:AF24" si="4">AE16*1000000/8000/0.9</f>
        <v>14.166547243718353</v>
      </c>
      <c r="AG16" s="38"/>
      <c r="AH16" s="39"/>
      <c r="AI16" s="58">
        <v>200</v>
      </c>
      <c r="AJ16" s="54">
        <f>(G16*AI16)/1000</f>
        <v>325</v>
      </c>
      <c r="AK16" s="54"/>
      <c r="AL16" s="39"/>
    </row>
    <row r="17" spans="2:38" x14ac:dyDescent="0.25">
      <c r="B17" s="11">
        <f t="shared" si="1"/>
        <v>6</v>
      </c>
      <c r="C17" s="55" t="s">
        <v>43</v>
      </c>
      <c r="D17" s="42"/>
      <c r="E17" s="25"/>
      <c r="F17" s="44"/>
      <c r="G17" s="45"/>
      <c r="H17" s="46"/>
      <c r="I17" s="56"/>
      <c r="J17" s="57"/>
      <c r="K17" s="47"/>
      <c r="L17" s="34"/>
      <c r="M17" s="48"/>
      <c r="N17" s="48"/>
      <c r="O17" s="34"/>
      <c r="P17" s="34"/>
      <c r="Q17" s="34"/>
      <c r="R17" s="34"/>
      <c r="S17" s="34"/>
      <c r="T17" s="34"/>
      <c r="U17" s="34"/>
      <c r="V17" s="34"/>
      <c r="W17" s="34"/>
      <c r="X17" s="49"/>
      <c r="Y17" s="34"/>
      <c r="Z17" s="34"/>
      <c r="AA17" s="34">
        <v>55</v>
      </c>
      <c r="AB17" s="34">
        <f>AA17*G17/1000000/1.163</f>
        <v>0</v>
      </c>
      <c r="AC17" s="34"/>
      <c r="AD17" s="50"/>
      <c r="AE17" s="51">
        <f>AB17</f>
        <v>0</v>
      </c>
      <c r="AF17" s="52">
        <f>AE17*1000000/8000/0.9</f>
        <v>0</v>
      </c>
      <c r="AG17" s="38"/>
      <c r="AH17" s="39"/>
      <c r="AI17" s="30">
        <v>5</v>
      </c>
      <c r="AJ17" s="54">
        <f>(G17*AI17)/1000</f>
        <v>0</v>
      </c>
      <c r="AK17" s="54"/>
      <c r="AL17" s="39"/>
    </row>
    <row r="18" spans="2:38" ht="17.25" customHeight="1" x14ac:dyDescent="0.25">
      <c r="B18" s="11">
        <f t="shared" si="1"/>
        <v>7</v>
      </c>
      <c r="C18" s="55" t="s">
        <v>44</v>
      </c>
      <c r="D18" s="42"/>
      <c r="E18" s="236">
        <v>331</v>
      </c>
      <c r="F18" s="44"/>
      <c r="G18" s="247"/>
      <c r="H18" s="46"/>
      <c r="I18" s="56"/>
      <c r="J18" s="57">
        <f>E18/4.5</f>
        <v>73.555555555555557</v>
      </c>
      <c r="K18" s="47">
        <v>12</v>
      </c>
      <c r="L18" s="34">
        <f t="shared" si="2"/>
        <v>0.88266666666666671</v>
      </c>
      <c r="M18" s="48"/>
      <c r="N18" s="48"/>
      <c r="O18" s="34">
        <f t="shared" si="3"/>
        <v>0.88266666666666671</v>
      </c>
      <c r="P18" s="34"/>
      <c r="Q18" s="34"/>
      <c r="R18" s="34"/>
      <c r="S18" s="34"/>
      <c r="T18" s="34"/>
      <c r="U18" s="34"/>
      <c r="V18" s="34"/>
      <c r="W18" s="34"/>
      <c r="X18" s="49"/>
      <c r="Y18" s="34">
        <v>36</v>
      </c>
      <c r="Z18" s="34">
        <f>Y18*E18/1000000/1.163</f>
        <v>1.0245915735167669E-2</v>
      </c>
      <c r="AA18" s="34">
        <v>55</v>
      </c>
      <c r="AB18" s="34">
        <f t="shared" ref="AB18:AB23" si="5">AA18*E18/1000000/1.163</f>
        <v>1.5653482373172829E-2</v>
      </c>
      <c r="AC18" s="34">
        <v>4.8899999999999997</v>
      </c>
      <c r="AD18" s="50">
        <f>J18*5.1*55*1.2/8/1000000</f>
        <v>3.0948500000000001E-3</v>
      </c>
      <c r="AE18" s="51">
        <f t="shared" ref="AE14:AE26" si="6">Z18+AB18+AD18</f>
        <v>2.89942481083405E-2</v>
      </c>
      <c r="AF18" s="52">
        <f t="shared" si="4"/>
        <v>4.0269789039361807</v>
      </c>
      <c r="AG18" s="53"/>
      <c r="AH18" s="39"/>
      <c r="AI18" s="59">
        <v>54</v>
      </c>
      <c r="AJ18" s="54">
        <f>(E18*AI18)/1000</f>
        <v>17.873999999999999</v>
      </c>
      <c r="AK18" s="54"/>
      <c r="AL18" s="39"/>
    </row>
    <row r="19" spans="2:38" ht="18.75" customHeight="1" x14ac:dyDescent="0.25">
      <c r="B19" s="11">
        <f t="shared" si="1"/>
        <v>8</v>
      </c>
      <c r="C19" s="55" t="s">
        <v>45</v>
      </c>
      <c r="D19" s="42"/>
      <c r="E19" s="43"/>
      <c r="F19" s="44"/>
      <c r="G19" s="56"/>
      <c r="H19" s="46"/>
      <c r="I19" s="56"/>
      <c r="J19" s="57">
        <f>E19/30</f>
        <v>0</v>
      </c>
      <c r="K19" s="47">
        <v>12</v>
      </c>
      <c r="L19" s="34">
        <f t="shared" si="2"/>
        <v>0</v>
      </c>
      <c r="M19" s="48"/>
      <c r="N19" s="48"/>
      <c r="O19" s="34">
        <f t="shared" si="3"/>
        <v>0</v>
      </c>
      <c r="P19" s="34"/>
      <c r="Q19" s="34"/>
      <c r="R19" s="34"/>
      <c r="S19" s="34"/>
      <c r="T19" s="34"/>
      <c r="U19" s="34"/>
      <c r="V19" s="34"/>
      <c r="W19" s="34"/>
      <c r="X19" s="49"/>
      <c r="Y19" s="34">
        <v>56</v>
      </c>
      <c r="Z19" s="34">
        <f t="shared" ref="Z19:Z24" si="7">Y19*E19/1000000/1.163</f>
        <v>0</v>
      </c>
      <c r="AA19" s="34">
        <v>85</v>
      </c>
      <c r="AB19" s="34">
        <f t="shared" si="5"/>
        <v>0</v>
      </c>
      <c r="AC19" s="34"/>
      <c r="AD19" s="50">
        <f>AC19*E19/1000000/1.163</f>
        <v>0</v>
      </c>
      <c r="AE19" s="51">
        <f t="shared" si="6"/>
        <v>0</v>
      </c>
      <c r="AF19" s="52">
        <f t="shared" si="4"/>
        <v>0</v>
      </c>
      <c r="AG19" s="53"/>
      <c r="AH19" s="39"/>
      <c r="AI19" s="59">
        <v>115</v>
      </c>
      <c r="AJ19" s="54">
        <f>(E19*AI19)/1000</f>
        <v>0</v>
      </c>
      <c r="AK19" s="54"/>
      <c r="AL19" s="39"/>
    </row>
    <row r="20" spans="2:38" ht="17.25" customHeight="1" x14ac:dyDescent="0.25">
      <c r="B20" s="11">
        <f t="shared" si="1"/>
        <v>9</v>
      </c>
      <c r="C20" s="55" t="s">
        <v>46</v>
      </c>
      <c r="D20" s="42"/>
      <c r="E20" s="43"/>
      <c r="F20" s="44"/>
      <c r="G20" s="56"/>
      <c r="H20" s="46"/>
      <c r="I20" s="56"/>
      <c r="J20" s="57">
        <f>E20/30</f>
        <v>0</v>
      </c>
      <c r="K20" s="47">
        <v>443</v>
      </c>
      <c r="L20" s="34">
        <f t="shared" si="2"/>
        <v>0</v>
      </c>
      <c r="M20" s="48"/>
      <c r="N20" s="48"/>
      <c r="O20" s="34">
        <f t="shared" si="3"/>
        <v>0</v>
      </c>
      <c r="P20" s="34"/>
      <c r="Q20" s="34"/>
      <c r="R20" s="34"/>
      <c r="S20" s="34"/>
      <c r="T20" s="34"/>
      <c r="U20" s="34"/>
      <c r="V20" s="34"/>
      <c r="W20" s="34"/>
      <c r="X20" s="49"/>
      <c r="Y20" s="34">
        <v>59</v>
      </c>
      <c r="Z20" s="34">
        <f>Y20*E20/1000000/1.163</f>
        <v>0</v>
      </c>
      <c r="AA20" s="34">
        <v>96</v>
      </c>
      <c r="AB20" s="34">
        <f t="shared" si="5"/>
        <v>0</v>
      </c>
      <c r="AC20" s="34">
        <v>68</v>
      </c>
      <c r="AD20" s="50">
        <f>AC20*E20/1000000/1.163</f>
        <v>0</v>
      </c>
      <c r="AE20" s="51">
        <f t="shared" si="6"/>
        <v>0</v>
      </c>
      <c r="AF20" s="52">
        <f>AE20*1000000/8000/0.9</f>
        <v>0</v>
      </c>
      <c r="AG20" s="53"/>
      <c r="AH20" s="39"/>
      <c r="AI20" s="59">
        <v>100</v>
      </c>
      <c r="AJ20" s="54">
        <f>E20*AI20/1000</f>
        <v>0</v>
      </c>
      <c r="AK20" s="54"/>
      <c r="AL20" s="39"/>
    </row>
    <row r="21" spans="2:38" ht="16.5" customHeight="1" x14ac:dyDescent="0.25">
      <c r="B21" s="11">
        <f t="shared" si="1"/>
        <v>10</v>
      </c>
      <c r="C21" s="55" t="s">
        <v>47</v>
      </c>
      <c r="D21" s="42"/>
      <c r="E21" s="43"/>
      <c r="F21" s="44"/>
      <c r="G21" s="56"/>
      <c r="H21" s="46" t="s">
        <v>72</v>
      </c>
      <c r="I21" s="56"/>
      <c r="J21" s="57">
        <f>E21/30</f>
        <v>0</v>
      </c>
      <c r="K21" s="47"/>
      <c r="L21" s="34"/>
      <c r="M21" s="48"/>
      <c r="N21" s="48"/>
      <c r="O21" s="34"/>
      <c r="P21" s="34"/>
      <c r="Q21" s="34"/>
      <c r="R21" s="34"/>
      <c r="S21" s="34"/>
      <c r="T21" s="34"/>
      <c r="U21" s="34"/>
      <c r="V21" s="34"/>
      <c r="W21" s="34"/>
      <c r="X21" s="49"/>
      <c r="Y21" s="34">
        <v>45</v>
      </c>
      <c r="Z21" s="34">
        <f t="shared" si="7"/>
        <v>0</v>
      </c>
      <c r="AA21" s="34">
        <v>55</v>
      </c>
      <c r="AB21" s="34">
        <f t="shared" si="5"/>
        <v>0</v>
      </c>
      <c r="AC21" s="34">
        <v>17.5</v>
      </c>
      <c r="AD21" s="50">
        <f>AC21*E21/1000000/1.163</f>
        <v>0</v>
      </c>
      <c r="AE21" s="51">
        <f t="shared" si="6"/>
        <v>0</v>
      </c>
      <c r="AF21" s="52">
        <f>AE21*1000000/8000/0.9</f>
        <v>0</v>
      </c>
      <c r="AG21" s="53"/>
      <c r="AH21" s="39"/>
      <c r="AI21" s="59">
        <v>80</v>
      </c>
      <c r="AJ21" s="54">
        <f>E21*AI21/1000</f>
        <v>0</v>
      </c>
      <c r="AK21" s="54"/>
      <c r="AL21" s="39"/>
    </row>
    <row r="22" spans="2:38" x14ac:dyDescent="0.25">
      <c r="B22" s="11">
        <f t="shared" si="1"/>
        <v>11</v>
      </c>
      <c r="C22" s="60" t="s">
        <v>66</v>
      </c>
      <c r="D22" s="42"/>
      <c r="E22" s="236">
        <v>1143</v>
      </c>
      <c r="F22" s="44"/>
      <c r="G22" s="56"/>
      <c r="H22" s="242">
        <v>19.23</v>
      </c>
      <c r="I22" s="56"/>
      <c r="J22" s="237">
        <v>100</v>
      </c>
      <c r="K22" s="47">
        <v>90</v>
      </c>
      <c r="L22" s="34">
        <f>J22*K22/1000</f>
        <v>9</v>
      </c>
      <c r="M22" s="48"/>
      <c r="N22" s="48"/>
      <c r="O22" s="34">
        <f t="shared" si="3"/>
        <v>9</v>
      </c>
      <c r="P22" s="34"/>
      <c r="Q22" s="34"/>
      <c r="R22" s="34"/>
      <c r="S22" s="34"/>
      <c r="T22" s="34"/>
      <c r="U22" s="34"/>
      <c r="V22" s="34"/>
      <c r="W22" s="34"/>
      <c r="X22" s="49"/>
      <c r="Y22" s="34">
        <v>49</v>
      </c>
      <c r="Z22" s="34">
        <f t="shared" si="7"/>
        <v>4.8157351676698192E-2</v>
      </c>
      <c r="AA22" s="34">
        <v>20.6</v>
      </c>
      <c r="AB22" s="34">
        <f t="shared" si="5"/>
        <v>2.02457437661221E-2</v>
      </c>
      <c r="AC22" s="34">
        <v>46</v>
      </c>
      <c r="AD22" s="50">
        <f>AC22*G22/1000000/1.163</f>
        <v>0</v>
      </c>
      <c r="AE22" s="51">
        <f t="shared" si="6"/>
        <v>6.8403095442820291E-2</v>
      </c>
      <c r="AF22" s="52">
        <f t="shared" si="4"/>
        <v>9.5004299226139306</v>
      </c>
      <c r="AG22" s="53"/>
      <c r="AH22" s="39"/>
      <c r="AI22" s="61">
        <v>460</v>
      </c>
      <c r="AJ22" s="54">
        <f>J22*AI22/1000</f>
        <v>46</v>
      </c>
      <c r="AK22" s="54"/>
      <c r="AL22" s="39"/>
    </row>
    <row r="23" spans="2:38" x14ac:dyDescent="0.25">
      <c r="B23" s="11">
        <f t="shared" si="1"/>
        <v>12</v>
      </c>
      <c r="C23" s="55" t="s">
        <v>102</v>
      </c>
      <c r="D23" s="42"/>
      <c r="E23" s="236">
        <v>361</v>
      </c>
      <c r="F23" s="44"/>
      <c r="G23" s="56"/>
      <c r="H23" s="242">
        <v>20</v>
      </c>
      <c r="I23" s="56"/>
      <c r="J23" s="237">
        <v>20</v>
      </c>
      <c r="K23" s="47">
        <v>16</v>
      </c>
      <c r="L23" s="34">
        <f>J23*K23/1000</f>
        <v>0.32</v>
      </c>
      <c r="M23" s="48"/>
      <c r="N23" s="48"/>
      <c r="O23" s="34">
        <f t="shared" si="3"/>
        <v>0.32</v>
      </c>
      <c r="P23" s="34"/>
      <c r="Q23" s="34"/>
      <c r="R23" s="34"/>
      <c r="S23" s="34"/>
      <c r="T23" s="34"/>
      <c r="U23" s="34"/>
      <c r="V23" s="34"/>
      <c r="W23" s="34"/>
      <c r="X23" s="49"/>
      <c r="Y23" s="34">
        <v>53</v>
      </c>
      <c r="Z23" s="34">
        <f t="shared" si="7"/>
        <v>1.6451418744625967E-2</v>
      </c>
      <c r="AA23" s="34">
        <v>52</v>
      </c>
      <c r="AB23" s="34">
        <f t="shared" si="5"/>
        <v>1.6141014617368873E-2</v>
      </c>
      <c r="AC23" s="34">
        <v>37</v>
      </c>
      <c r="AD23" s="50">
        <f>AC23*G23/1000000/1.163</f>
        <v>0</v>
      </c>
      <c r="AE23" s="51">
        <f t="shared" si="6"/>
        <v>3.2592433361994841E-2</v>
      </c>
      <c r="AF23" s="52">
        <f t="shared" si="4"/>
        <v>4.5267268558326172</v>
      </c>
      <c r="AG23" s="53"/>
      <c r="AH23" s="39"/>
      <c r="AI23" s="61">
        <v>250</v>
      </c>
      <c r="AJ23" s="54">
        <f>J23*AI23/1000</f>
        <v>5</v>
      </c>
      <c r="AK23" s="54"/>
      <c r="AL23" s="39"/>
    </row>
    <row r="24" spans="2:38" ht="14.25" customHeight="1" x14ac:dyDescent="0.25">
      <c r="B24" s="11">
        <f t="shared" si="1"/>
        <v>13</v>
      </c>
      <c r="C24" s="55" t="s">
        <v>48</v>
      </c>
      <c r="D24" s="42"/>
      <c r="E24" s="236">
        <v>1628</v>
      </c>
      <c r="F24" s="44"/>
      <c r="G24" s="56"/>
      <c r="H24" s="241"/>
      <c r="I24" s="56"/>
      <c r="J24" s="237">
        <v>148</v>
      </c>
      <c r="K24" s="47">
        <v>0.36</v>
      </c>
      <c r="L24" s="34">
        <f>J24*K24/1000</f>
        <v>5.3280000000000001E-2</v>
      </c>
      <c r="M24" s="48"/>
      <c r="N24" s="48"/>
      <c r="O24" s="34">
        <f t="shared" si="3"/>
        <v>5.3280000000000001E-2</v>
      </c>
      <c r="P24" s="34"/>
      <c r="Q24" s="34"/>
      <c r="R24" s="34"/>
      <c r="S24" s="34"/>
      <c r="T24" s="34"/>
      <c r="U24" s="34"/>
      <c r="V24" s="34"/>
      <c r="W24" s="34"/>
      <c r="X24" s="49"/>
      <c r="Y24" s="34">
        <v>0</v>
      </c>
      <c r="Z24" s="34">
        <f t="shared" si="7"/>
        <v>0</v>
      </c>
      <c r="AA24" s="34">
        <v>59</v>
      </c>
      <c r="AB24" s="34">
        <f>AA24*E24/1000000/1.163</f>
        <v>8.258985382631126E-2</v>
      </c>
      <c r="AC24" s="34">
        <v>0</v>
      </c>
      <c r="AD24" s="50">
        <f>AC24*E24/1000000/1.163</f>
        <v>0</v>
      </c>
      <c r="AE24" s="51">
        <f t="shared" si="6"/>
        <v>8.258985382631126E-2</v>
      </c>
      <c r="AF24" s="52">
        <f t="shared" si="4"/>
        <v>11.470813031432119</v>
      </c>
      <c r="AG24" s="53"/>
      <c r="AH24" s="39"/>
      <c r="AI24" s="59">
        <v>500</v>
      </c>
      <c r="AJ24" s="54">
        <f>(J24*AI24)/1000</f>
        <v>74</v>
      </c>
      <c r="AK24" s="54"/>
      <c r="AL24" s="39"/>
    </row>
    <row r="25" spans="2:38" ht="16.5" customHeight="1" x14ac:dyDescent="0.25">
      <c r="B25" s="11">
        <f t="shared" si="1"/>
        <v>14</v>
      </c>
      <c r="C25" s="55" t="s">
        <v>49</v>
      </c>
      <c r="D25" s="42"/>
      <c r="E25" s="236">
        <v>0</v>
      </c>
      <c r="F25" s="44"/>
      <c r="G25" s="56"/>
      <c r="H25" s="242">
        <v>31.5</v>
      </c>
      <c r="I25" s="56"/>
      <c r="J25" s="237">
        <v>0</v>
      </c>
      <c r="K25" s="47">
        <v>0.36</v>
      </c>
      <c r="L25" s="34">
        <f>J25*K25/1000</f>
        <v>0</v>
      </c>
      <c r="M25" s="48"/>
      <c r="N25" s="48"/>
      <c r="O25" s="34">
        <f t="shared" si="3"/>
        <v>0</v>
      </c>
      <c r="P25" s="34"/>
      <c r="Q25" s="34"/>
      <c r="R25" s="34"/>
      <c r="S25" s="34"/>
      <c r="T25" s="34"/>
      <c r="U25" s="34"/>
      <c r="V25" s="34"/>
      <c r="W25" s="34"/>
      <c r="X25" s="49"/>
      <c r="Y25" s="34"/>
      <c r="Z25" s="34"/>
      <c r="AA25" s="34"/>
      <c r="AB25" s="34"/>
      <c r="AC25" s="34"/>
      <c r="AD25" s="50"/>
      <c r="AE25" s="51"/>
      <c r="AF25" s="62"/>
      <c r="AG25" s="63"/>
      <c r="AH25" s="39"/>
      <c r="AI25" s="59">
        <v>10</v>
      </c>
      <c r="AJ25" s="54">
        <f>E25*AI25/1000</f>
        <v>0</v>
      </c>
      <c r="AK25" s="54"/>
      <c r="AL25" s="39"/>
    </row>
    <row r="26" spans="2:38" ht="17.25" customHeight="1" x14ac:dyDescent="0.25">
      <c r="B26" s="11">
        <f t="shared" si="1"/>
        <v>15</v>
      </c>
      <c r="C26" s="55" t="s">
        <v>50</v>
      </c>
      <c r="D26" s="42"/>
      <c r="E26" s="236">
        <v>0</v>
      </c>
      <c r="F26" s="44"/>
      <c r="G26" s="56"/>
      <c r="H26" s="242">
        <v>11.7</v>
      </c>
      <c r="I26" s="56"/>
      <c r="J26" s="237">
        <v>0</v>
      </c>
      <c r="K26" s="47">
        <v>13</v>
      </c>
      <c r="L26" s="34">
        <f>J26*K26/1000</f>
        <v>0</v>
      </c>
      <c r="M26" s="48"/>
      <c r="N26" s="48"/>
      <c r="O26" s="34">
        <f t="shared" si="3"/>
        <v>0</v>
      </c>
      <c r="P26" s="34"/>
      <c r="Q26" s="34"/>
      <c r="R26" s="34"/>
      <c r="S26" s="34"/>
      <c r="T26" s="34"/>
      <c r="U26" s="34"/>
      <c r="V26" s="34"/>
      <c r="W26" s="34"/>
      <c r="X26" s="49"/>
      <c r="Y26" s="34">
        <v>49</v>
      </c>
      <c r="Z26" s="34">
        <f>Y26*E26/1000000/1.163</f>
        <v>0</v>
      </c>
      <c r="AA26" s="34">
        <v>20.6</v>
      </c>
      <c r="AB26" s="34">
        <f>AA26*E26/1000000/1.163</f>
        <v>0</v>
      </c>
      <c r="AC26" s="34">
        <v>3</v>
      </c>
      <c r="AD26" s="50">
        <f>AC26*G26/1000000/1.163</f>
        <v>0</v>
      </c>
      <c r="AE26" s="51">
        <f t="shared" si="6"/>
        <v>0</v>
      </c>
      <c r="AF26" s="52">
        <f>AE26*1000000/8000/0.9</f>
        <v>0</v>
      </c>
      <c r="AG26" s="53"/>
      <c r="AH26" s="39"/>
      <c r="AI26" s="59">
        <v>550</v>
      </c>
      <c r="AJ26" s="54">
        <f>(J26*AI26)/1000</f>
        <v>0</v>
      </c>
      <c r="AK26" s="54"/>
      <c r="AL26" s="39"/>
    </row>
    <row r="27" spans="2:38" ht="18" customHeight="1" x14ac:dyDescent="0.25">
      <c r="B27" s="11">
        <f t="shared" si="1"/>
        <v>16</v>
      </c>
      <c r="C27" s="55" t="s">
        <v>51</v>
      </c>
      <c r="D27" s="42"/>
      <c r="E27" s="25"/>
      <c r="F27" s="25"/>
      <c r="G27" s="56"/>
      <c r="H27" s="46"/>
      <c r="I27" s="56"/>
      <c r="J27" s="64"/>
      <c r="K27" s="65"/>
      <c r="L27" s="66"/>
      <c r="M27" s="67"/>
      <c r="N27" s="67"/>
      <c r="O27" s="66"/>
      <c r="P27" s="66"/>
      <c r="Q27" s="66"/>
      <c r="R27" s="66"/>
      <c r="S27" s="66"/>
      <c r="T27" s="66"/>
      <c r="U27" s="66"/>
      <c r="V27" s="66"/>
      <c r="W27" s="66"/>
      <c r="X27" s="68"/>
      <c r="Y27" s="34"/>
      <c r="Z27" s="34"/>
      <c r="AA27" s="34"/>
      <c r="AB27" s="34"/>
      <c r="AC27" s="34"/>
      <c r="AD27" s="66"/>
      <c r="AE27" s="69"/>
      <c r="AF27" s="70"/>
      <c r="AG27" s="71"/>
      <c r="AH27" s="39"/>
      <c r="AI27" s="47"/>
      <c r="AJ27" s="244">
        <f>IF(2.6*F12&lt;10,10,2.6*F12)</f>
        <v>10</v>
      </c>
      <c r="AK27" s="244"/>
      <c r="AL27" s="39"/>
    </row>
    <row r="28" spans="2:38" ht="17.25" customHeight="1" x14ac:dyDescent="0.25">
      <c r="B28" s="11">
        <f t="shared" si="1"/>
        <v>17</v>
      </c>
      <c r="C28" s="72" t="s">
        <v>52</v>
      </c>
      <c r="D28" s="73"/>
      <c r="E28" s="236"/>
      <c r="F28" s="74"/>
      <c r="G28" s="75"/>
      <c r="H28" s="76"/>
      <c r="I28" s="75"/>
      <c r="J28" s="77"/>
      <c r="K28" s="78"/>
      <c r="L28" s="79"/>
      <c r="M28" s="80"/>
      <c r="N28" s="80"/>
      <c r="O28" s="79"/>
      <c r="P28" s="79"/>
      <c r="Q28" s="79"/>
      <c r="R28" s="79"/>
      <c r="S28" s="79"/>
      <c r="T28" s="79"/>
      <c r="U28" s="79"/>
      <c r="V28" s="79"/>
      <c r="W28" s="79"/>
      <c r="X28" s="81"/>
      <c r="Y28" s="34"/>
      <c r="Z28" s="34"/>
      <c r="AA28" s="34"/>
      <c r="AB28" s="34"/>
      <c r="AC28" s="34"/>
      <c r="AD28" s="79"/>
      <c r="AE28" s="82">
        <v>0</v>
      </c>
      <c r="AF28" s="83"/>
      <c r="AG28" s="84"/>
      <c r="AH28" s="39"/>
      <c r="AI28" s="85"/>
      <c r="AJ28" s="86"/>
      <c r="AK28" s="86"/>
      <c r="AL28" s="39"/>
    </row>
    <row r="29" spans="2:38" ht="26.25" x14ac:dyDescent="0.25">
      <c r="B29" s="11">
        <f t="shared" si="1"/>
        <v>18</v>
      </c>
      <c r="C29" s="41" t="s">
        <v>53</v>
      </c>
      <c r="D29" s="42"/>
      <c r="E29" s="25"/>
      <c r="F29" s="25"/>
      <c r="G29" s="56"/>
      <c r="H29" s="46"/>
      <c r="I29" s="56"/>
      <c r="J29" s="64"/>
      <c r="K29" s="65"/>
      <c r="L29" s="66"/>
      <c r="M29" s="67"/>
      <c r="N29" s="67"/>
      <c r="O29" s="66"/>
      <c r="P29" s="66"/>
      <c r="Q29" s="66"/>
      <c r="R29" s="66"/>
      <c r="S29" s="66"/>
      <c r="T29" s="66"/>
      <c r="U29" s="66"/>
      <c r="V29" s="66"/>
      <c r="W29" s="66"/>
      <c r="X29" s="68"/>
      <c r="Y29" s="34"/>
      <c r="Z29" s="34"/>
      <c r="AA29" s="34"/>
      <c r="AB29" s="34"/>
      <c r="AC29" s="34"/>
      <c r="AD29" s="66"/>
      <c r="AE29" s="87"/>
      <c r="AF29" s="70"/>
      <c r="AG29" s="71"/>
      <c r="AH29" s="39"/>
      <c r="AI29" s="47"/>
      <c r="AJ29" s="54">
        <f>0.087*M30*0+0.099*S30+(0.029*T30+0.071*W30)*0+0.029*X30+7.49*AG30</f>
        <v>33.372926979799992</v>
      </c>
      <c r="AK29" s="54"/>
      <c r="AL29" s="39"/>
    </row>
    <row r="30" spans="2:38" ht="15.75" thickBot="1" x14ac:dyDescent="0.3">
      <c r="B30" s="11">
        <f t="shared" si="1"/>
        <v>19</v>
      </c>
      <c r="C30" s="88" t="s">
        <v>107</v>
      </c>
      <c r="D30" s="89"/>
      <c r="E30" s="90">
        <f>SUM(E13:E26)-E13</f>
        <v>43088</v>
      </c>
      <c r="F30" s="90"/>
      <c r="G30" s="91">
        <f>G14+G16+G18</f>
        <v>27104</v>
      </c>
      <c r="H30" s="92"/>
      <c r="I30" s="91"/>
      <c r="J30" s="93"/>
      <c r="K30" s="94"/>
      <c r="L30" s="95">
        <v>297</v>
      </c>
      <c r="M30" s="96">
        <f>L30</f>
        <v>297</v>
      </c>
      <c r="N30" s="96"/>
      <c r="O30" s="95">
        <f>L30</f>
        <v>297</v>
      </c>
      <c r="P30" s="95"/>
      <c r="Q30" s="95"/>
      <c r="R30" s="95">
        <f>D12*80*0.65</f>
        <v>66.039999999999992</v>
      </c>
      <c r="S30" s="97">
        <f>(D12*0.7*10*10)/48*24</f>
        <v>44.449999999999996</v>
      </c>
      <c r="T30" s="95">
        <v>155</v>
      </c>
      <c r="U30" s="95"/>
      <c r="V30" s="95">
        <v>100</v>
      </c>
      <c r="W30" s="95">
        <f>O30</f>
        <v>297</v>
      </c>
      <c r="X30" s="98">
        <f>O30</f>
        <v>297</v>
      </c>
      <c r="Y30" s="99"/>
      <c r="Z30" s="100">
        <f>SUM(Z14:Z26)</f>
        <v>1.3489303525365437</v>
      </c>
      <c r="AA30" s="90"/>
      <c r="AB30" s="101">
        <f>SUM(AB14:AB26)</f>
        <v>0.13463009458297506</v>
      </c>
      <c r="AC30" s="102"/>
      <c r="AD30" s="101">
        <f>SUM(AD14:AD26)</f>
        <v>0.72039188353396388</v>
      </c>
      <c r="AE30" s="103">
        <f>SUM(AE14:AE28)</f>
        <v>2.2039523306534825</v>
      </c>
      <c r="AF30" s="104">
        <f>AG30*1000000/8000</f>
        <v>339.77598430907852</v>
      </c>
      <c r="AG30" s="105">
        <f>AE30*1.11/0.9</f>
        <v>2.7182078744726286</v>
      </c>
      <c r="AH30" s="106"/>
      <c r="AI30" s="99"/>
      <c r="AJ30" s="91">
        <v>1626</v>
      </c>
      <c r="AK30" s="91"/>
      <c r="AL30" s="106"/>
    </row>
    <row r="31" spans="2:38" ht="42.75" customHeight="1" thickBot="1" x14ac:dyDescent="0.3">
      <c r="B31" s="11">
        <f t="shared" si="1"/>
        <v>20</v>
      </c>
      <c r="C31" s="107" t="s">
        <v>55</v>
      </c>
      <c r="D31" s="108"/>
      <c r="E31" s="109"/>
      <c r="F31" s="109"/>
      <c r="G31" s="110"/>
      <c r="H31" s="111"/>
      <c r="I31" s="112"/>
      <c r="J31" s="113"/>
      <c r="K31" s="114"/>
      <c r="L31" s="115">
        <f>L30*84800</f>
        <v>25185600</v>
      </c>
      <c r="M31" s="115">
        <f>M30*112000</f>
        <v>33264000</v>
      </c>
      <c r="N31" s="115"/>
      <c r="O31" s="115">
        <f>O30*127200</f>
        <v>37778400</v>
      </c>
      <c r="P31" s="115"/>
      <c r="Q31" s="115">
        <f>D12*21000000</f>
        <v>26670000</v>
      </c>
      <c r="R31" s="115"/>
      <c r="S31" s="115">
        <f>S30*192000</f>
        <v>8534400</v>
      </c>
      <c r="T31" s="115">
        <f>T30*32000</f>
        <v>4960000</v>
      </c>
      <c r="U31" s="115"/>
      <c r="V31" s="115"/>
      <c r="W31" s="115">
        <f>W30*144000</f>
        <v>42768000</v>
      </c>
      <c r="X31" s="116">
        <f>X30*19200</f>
        <v>5702400</v>
      </c>
      <c r="Y31" s="117"/>
      <c r="Z31" s="118"/>
      <c r="AA31" s="109"/>
      <c r="AB31" s="119"/>
      <c r="AC31" s="111"/>
      <c r="AD31" s="119"/>
      <c r="AE31" s="120">
        <f>AE30*23100000</f>
        <v>50911298.838095449</v>
      </c>
      <c r="AF31" s="121">
        <f>4550*AF30+1499*AF30*8.52+16499</f>
        <v>5901921.9166900171</v>
      </c>
      <c r="AG31" s="120">
        <f>AG30*20000000</f>
        <v>54364157.489452571</v>
      </c>
      <c r="AH31" s="122"/>
      <c r="AI31" s="123"/>
      <c r="AJ31" s="124">
        <f>AJ30*35000</f>
        <v>56910000</v>
      </c>
      <c r="AK31" s="124"/>
      <c r="AL31" s="122">
        <v>15000000</v>
      </c>
    </row>
    <row r="32" spans="2:38" ht="45.75" customHeight="1" x14ac:dyDescent="0.25">
      <c r="B32" s="11">
        <f t="shared" si="1"/>
        <v>21</v>
      </c>
      <c r="C32" s="297" t="s">
        <v>87</v>
      </c>
      <c r="D32" s="298"/>
      <c r="E32" s="298"/>
      <c r="F32" s="298"/>
      <c r="G32" s="298"/>
      <c r="H32" s="298"/>
      <c r="I32" s="298"/>
      <c r="J32" s="299"/>
      <c r="K32" s="295"/>
      <c r="L32" s="296"/>
      <c r="M32" s="296"/>
      <c r="N32" s="125">
        <f>D12*6300000</f>
        <v>8001000</v>
      </c>
      <c r="O32" s="126"/>
      <c r="P32" s="125">
        <f>D12*3220000</f>
        <v>4089400</v>
      </c>
      <c r="Q32" s="238"/>
      <c r="R32" s="238"/>
      <c r="S32" s="126"/>
      <c r="T32" s="239"/>
      <c r="U32" s="125">
        <f>D12*7000000</f>
        <v>8890000</v>
      </c>
      <c r="V32" s="125">
        <f>V30*126000</f>
        <v>12600000</v>
      </c>
      <c r="W32" s="127"/>
      <c r="X32" s="128"/>
      <c r="Y32" s="129"/>
      <c r="Z32" s="130"/>
      <c r="AA32" s="131"/>
      <c r="AB32" s="132"/>
      <c r="AC32" s="133"/>
      <c r="AD32" s="132"/>
      <c r="AE32" s="128"/>
      <c r="AF32" s="134"/>
      <c r="AG32" s="128"/>
      <c r="AH32" s="125">
        <f>D12*7000000</f>
        <v>8890000</v>
      </c>
      <c r="AI32" s="135"/>
      <c r="AJ32" s="127"/>
      <c r="AK32" s="125">
        <f>F12*4800000</f>
        <v>5760000</v>
      </c>
      <c r="AL32" s="125"/>
    </row>
    <row r="33" spans="2:38" x14ac:dyDescent="0.25">
      <c r="B33" s="11">
        <f t="shared" si="1"/>
        <v>22</v>
      </c>
      <c r="C33" s="136" t="s">
        <v>56</v>
      </c>
      <c r="D33" s="137"/>
      <c r="E33" s="138"/>
      <c r="F33" s="139"/>
      <c r="G33" s="140"/>
      <c r="H33" s="141"/>
      <c r="I33" s="142"/>
      <c r="J33" s="143"/>
      <c r="K33" s="144"/>
      <c r="L33" s="145" t="s">
        <v>57</v>
      </c>
      <c r="M33" s="146"/>
      <c r="N33" s="146"/>
      <c r="O33" s="145" t="s">
        <v>57</v>
      </c>
      <c r="P33" s="145"/>
      <c r="Q33" s="145"/>
      <c r="R33" s="145"/>
      <c r="S33" s="145"/>
      <c r="T33" s="145"/>
      <c r="U33" s="145"/>
      <c r="V33" s="145"/>
      <c r="W33" s="145"/>
      <c r="X33" s="147"/>
      <c r="Y33" s="148"/>
      <c r="Z33" s="149" t="s">
        <v>58</v>
      </c>
      <c r="AA33" s="150"/>
      <c r="AB33" s="151" t="s">
        <v>58</v>
      </c>
      <c r="AC33" s="152"/>
      <c r="AD33" s="151" t="s">
        <v>58</v>
      </c>
      <c r="AE33" s="153" t="s">
        <v>58</v>
      </c>
      <c r="AF33" s="154" t="s">
        <v>59</v>
      </c>
      <c r="AG33" s="155" t="s">
        <v>58</v>
      </c>
      <c r="AH33" s="155"/>
      <c r="AI33" s="156"/>
      <c r="AJ33" s="149" t="s">
        <v>58</v>
      </c>
      <c r="AK33" s="149"/>
      <c r="AL33" s="155"/>
    </row>
    <row r="34" spans="2:38" ht="25.5" x14ac:dyDescent="0.25">
      <c r="B34" s="11">
        <f t="shared" si="1"/>
        <v>23</v>
      </c>
      <c r="C34" s="157" t="s">
        <v>60</v>
      </c>
      <c r="D34" s="158"/>
      <c r="E34" s="159"/>
      <c r="F34" s="159"/>
      <c r="G34" s="160"/>
      <c r="H34" s="161"/>
      <c r="I34" s="162"/>
      <c r="J34" s="163"/>
      <c r="K34" s="164"/>
      <c r="L34" s="165">
        <f>L30/E30</f>
        <v>6.8928704047530633E-3</v>
      </c>
      <c r="M34" s="166"/>
      <c r="N34" s="166"/>
      <c r="O34" s="165">
        <f>O30/E30</f>
        <v>6.8928704047530633E-3</v>
      </c>
      <c r="P34" s="165"/>
      <c r="Q34" s="165"/>
      <c r="R34" s="165"/>
      <c r="S34" s="165"/>
      <c r="T34" s="165"/>
      <c r="U34" s="165"/>
      <c r="V34" s="165"/>
      <c r="W34" s="165"/>
      <c r="X34" s="167"/>
      <c r="Y34" s="168"/>
      <c r="Z34" s="169">
        <f>Z30/$E$30*1.163*1000000</f>
        <v>36.409348310434467</v>
      </c>
      <c r="AA34" s="159"/>
      <c r="AB34" s="170">
        <f>AB30/$E$30*1.163*1000000</f>
        <v>3.6338377274415152</v>
      </c>
      <c r="AC34" s="161"/>
      <c r="AD34" s="170">
        <f>AD30/$E$30*1.163*1000000</f>
        <v>19.444294479901597</v>
      </c>
      <c r="AE34" s="171">
        <f>AE30/$E$30*1.163*1000000</f>
        <v>59.487480517777584</v>
      </c>
      <c r="AF34" s="167">
        <f>AF30/E30</f>
        <v>7.8856290454205006E-3</v>
      </c>
      <c r="AG34" s="172">
        <f>AG30*1.163*1000000/E30</f>
        <v>73.367892638592352</v>
      </c>
      <c r="AH34" s="172"/>
      <c r="AI34" s="168"/>
      <c r="AJ34" s="169">
        <f>AJ30/$E$30*1000</f>
        <v>37.736724842183442</v>
      </c>
      <c r="AK34" s="169"/>
      <c r="AL34" s="172"/>
    </row>
    <row r="35" spans="2:38" ht="25.5" x14ac:dyDescent="0.25">
      <c r="B35" s="11">
        <f t="shared" si="1"/>
        <v>24</v>
      </c>
      <c r="C35" s="173" t="s">
        <v>70</v>
      </c>
      <c r="D35" s="174"/>
      <c r="E35" s="175"/>
      <c r="F35" s="175"/>
      <c r="G35" s="176"/>
      <c r="H35" s="177"/>
      <c r="I35" s="178"/>
      <c r="J35" s="179"/>
      <c r="K35" s="180"/>
      <c r="L35" s="181">
        <f>L30/G30</f>
        <v>1.0957792207792208E-2</v>
      </c>
      <c r="M35" s="182"/>
      <c r="N35" s="182"/>
      <c r="O35" s="181">
        <f>O30/G30</f>
        <v>1.0957792207792208E-2</v>
      </c>
      <c r="P35" s="181"/>
      <c r="Q35" s="181"/>
      <c r="R35" s="181"/>
      <c r="S35" s="181"/>
      <c r="T35" s="181"/>
      <c r="U35" s="181"/>
      <c r="V35" s="181"/>
      <c r="W35" s="181"/>
      <c r="X35" s="183"/>
      <c r="Y35" s="184"/>
      <c r="Z35" s="185">
        <f>Z30/$G$30*1.163*1000000</f>
        <v>57.880976977567904</v>
      </c>
      <c r="AA35" s="175"/>
      <c r="AB35" s="186">
        <f>AB30/$G$30*1.163*1000000</f>
        <v>5.7768152302243214</v>
      </c>
      <c r="AC35" s="177"/>
      <c r="AD35" s="186">
        <f>AD30/$G$30*1.163*1000000</f>
        <v>30.911148190304012</v>
      </c>
      <c r="AE35" s="187">
        <f>AE30/$G$30*1.163*1000000</f>
        <v>94.568940398096231</v>
      </c>
      <c r="AF35" s="188">
        <f>AF30/G30</f>
        <v>1.253600886618501E-2</v>
      </c>
      <c r="AG35" s="189">
        <f>AG30*1000000*1.163/G30</f>
        <v>116.63502649098535</v>
      </c>
      <c r="AH35" s="190"/>
      <c r="AI35" s="184"/>
      <c r="AJ35" s="191">
        <f>AJ30/G30*1000</f>
        <v>59.991145218417948</v>
      </c>
      <c r="AK35" s="186"/>
      <c r="AL35" s="190"/>
    </row>
    <row r="36" spans="2:38" ht="15" customHeight="1" x14ac:dyDescent="0.25">
      <c r="B36" s="257">
        <v>25</v>
      </c>
      <c r="C36" s="270" t="s">
        <v>71</v>
      </c>
      <c r="D36" s="272" t="s">
        <v>61</v>
      </c>
      <c r="E36" s="273"/>
      <c r="F36" s="273"/>
      <c r="G36" s="274"/>
      <c r="H36" s="272" t="s">
        <v>62</v>
      </c>
      <c r="I36" s="273"/>
      <c r="J36" s="274"/>
      <c r="K36" s="275"/>
      <c r="L36" s="276"/>
      <c r="M36" s="276"/>
      <c r="N36" s="276"/>
      <c r="O36" s="276"/>
      <c r="P36" s="276"/>
      <c r="Q36" s="276"/>
      <c r="R36" s="276"/>
      <c r="S36" s="276"/>
      <c r="T36" s="276"/>
      <c r="U36" s="276"/>
      <c r="V36" s="276"/>
      <c r="W36" s="276"/>
      <c r="X36" s="276"/>
      <c r="Y36" s="276"/>
      <c r="Z36" s="276"/>
      <c r="AA36" s="276"/>
      <c r="AB36" s="276"/>
      <c r="AC36" s="276"/>
      <c r="AD36" s="276"/>
      <c r="AE36" s="276"/>
      <c r="AF36" s="276"/>
      <c r="AG36" s="276"/>
      <c r="AH36" s="276"/>
      <c r="AI36" s="276"/>
      <c r="AJ36" s="276"/>
      <c r="AK36" s="276"/>
      <c r="AL36" s="277"/>
    </row>
    <row r="37" spans="2:38" ht="15.75" thickBot="1" x14ac:dyDescent="0.3">
      <c r="B37" s="258"/>
      <c r="C37" s="271"/>
      <c r="D37" s="278"/>
      <c r="E37" s="279"/>
      <c r="F37" s="279"/>
      <c r="G37" s="280"/>
      <c r="H37" s="278">
        <f>L37+N37+O37+P37+U37+X37+AJ37+AL37+AK37+AF37+AG37+AH37+S37+V37</f>
        <v>9504.4008045359569</v>
      </c>
      <c r="I37" s="279"/>
      <c r="J37" s="280"/>
      <c r="K37" s="192"/>
      <c r="L37" s="193">
        <f>L31/G30</f>
        <v>929.22077922077926</v>
      </c>
      <c r="M37" s="194">
        <f>M31/G30</f>
        <v>1227.2727272727273</v>
      </c>
      <c r="N37" s="195">
        <f>N32/G30</f>
        <v>295.19628099173553</v>
      </c>
      <c r="O37" s="193">
        <f>O31/G30</f>
        <v>1393.8311688311687</v>
      </c>
      <c r="P37" s="196">
        <f>P32/G30</f>
        <v>150.87809917355372</v>
      </c>
      <c r="Q37" s="196">
        <f>Q31/G30</f>
        <v>983.98760330578511</v>
      </c>
      <c r="R37" s="196"/>
      <c r="S37" s="197">
        <f>S31/G30</f>
        <v>314.87603305785126</v>
      </c>
      <c r="T37" s="193">
        <f>T31/G30</f>
        <v>182.99881936245572</v>
      </c>
      <c r="U37" s="198">
        <f>U32/G30</f>
        <v>327.99586776859502</v>
      </c>
      <c r="V37" s="198">
        <f>V32/G30</f>
        <v>464.87603305785126</v>
      </c>
      <c r="W37" s="198">
        <f>W31/G30</f>
        <v>1577.922077922078</v>
      </c>
      <c r="X37" s="199">
        <f>X31/G30</f>
        <v>210.3896103896104</v>
      </c>
      <c r="Y37" s="197"/>
      <c r="Z37" s="194"/>
      <c r="AA37" s="200"/>
      <c r="AB37" s="194"/>
      <c r="AC37" s="200"/>
      <c r="AD37" s="194"/>
      <c r="AE37" s="201">
        <f>AE31/G30</f>
        <v>1878.3684636251273</v>
      </c>
      <c r="AF37" s="202">
        <f>AF31/G30</f>
        <v>217.7509561942893</v>
      </c>
      <c r="AG37" s="201">
        <f>AG31/G30</f>
        <v>2005.7614185896018</v>
      </c>
      <c r="AH37" s="201">
        <f>AH32/G30</f>
        <v>327.99586776859502</v>
      </c>
      <c r="AI37" s="203"/>
      <c r="AJ37" s="194">
        <f>AJ31/G30</f>
        <v>2099.6900826446281</v>
      </c>
      <c r="AK37" s="195">
        <f>AK32/G30</f>
        <v>212.51475796930342</v>
      </c>
      <c r="AL37" s="201">
        <f>AL31/G30</f>
        <v>553.42384887839432</v>
      </c>
    </row>
    <row r="38" spans="2:38" ht="15.75" thickBot="1" x14ac:dyDescent="0.3">
      <c r="B38" s="261"/>
      <c r="C38" s="262"/>
      <c r="D38" s="262"/>
      <c r="E38" s="262"/>
      <c r="F38" s="262"/>
      <c r="G38" s="262"/>
      <c r="H38" s="262"/>
      <c r="I38" s="262"/>
      <c r="J38" s="262"/>
      <c r="K38" s="262"/>
      <c r="L38" s="262"/>
      <c r="M38" s="262"/>
      <c r="N38" s="262"/>
      <c r="O38" s="262"/>
      <c r="P38" s="262"/>
      <c r="Q38" s="262"/>
      <c r="R38" s="262"/>
      <c r="S38" s="262"/>
      <c r="T38" s="262"/>
      <c r="U38" s="262"/>
      <c r="V38" s="262"/>
      <c r="W38" s="262"/>
      <c r="X38" s="262"/>
      <c r="Y38" s="262"/>
      <c r="Z38" s="262"/>
      <c r="AA38" s="262"/>
      <c r="AB38" s="262"/>
      <c r="AC38" s="262"/>
      <c r="AD38" s="262"/>
      <c r="AE38" s="262"/>
      <c r="AF38" s="262"/>
      <c r="AG38" s="262"/>
      <c r="AH38" s="262"/>
      <c r="AI38" s="262"/>
      <c r="AJ38" s="262"/>
      <c r="AK38" s="263"/>
      <c r="AL38" s="264"/>
    </row>
    <row r="39" spans="2:38" ht="48.75" customHeight="1" x14ac:dyDescent="0.25">
      <c r="B39" s="11">
        <v>26</v>
      </c>
      <c r="C39" s="204" t="s">
        <v>73</v>
      </c>
      <c r="D39" s="265"/>
      <c r="E39" s="266"/>
      <c r="F39" s="266"/>
      <c r="G39" s="266"/>
      <c r="H39" s="266"/>
      <c r="I39" s="266"/>
      <c r="J39" s="266"/>
      <c r="K39" s="266"/>
      <c r="L39" s="205">
        <v>7.0000000000000001E-3</v>
      </c>
      <c r="M39" s="206"/>
      <c r="N39" s="206"/>
      <c r="O39" s="205">
        <v>7.0000000000000001E-3</v>
      </c>
      <c r="P39" s="206"/>
      <c r="Q39" s="206"/>
      <c r="R39" s="207"/>
      <c r="S39" s="207"/>
      <c r="T39" s="207"/>
      <c r="U39" s="207"/>
      <c r="V39" s="207"/>
      <c r="W39" s="207"/>
      <c r="X39" s="207"/>
      <c r="Y39" s="208"/>
      <c r="Z39" s="209"/>
      <c r="AA39" s="210"/>
      <c r="AB39" s="209"/>
      <c r="AC39" s="210"/>
      <c r="AD39" s="209"/>
      <c r="AE39" s="211">
        <v>7.1000000000000005E-5</v>
      </c>
      <c r="AF39" s="206"/>
      <c r="AG39" s="206"/>
      <c r="AH39" s="212"/>
      <c r="AI39" s="213"/>
      <c r="AJ39" s="214">
        <v>40</v>
      </c>
      <c r="AK39" s="214"/>
      <c r="AL39" s="212"/>
    </row>
    <row r="40" spans="2:38" ht="60" customHeight="1" thickBot="1" x14ac:dyDescent="0.3">
      <c r="B40" s="215">
        <v>27</v>
      </c>
      <c r="C40" s="216" t="s">
        <v>63</v>
      </c>
      <c r="D40" s="267"/>
      <c r="E40" s="268"/>
      <c r="F40" s="268"/>
      <c r="G40" s="268"/>
      <c r="H40" s="268"/>
      <c r="I40" s="268"/>
      <c r="J40" s="268"/>
      <c r="K40" s="268"/>
      <c r="L40" s="217">
        <f>L35</f>
        <v>1.0957792207792208E-2</v>
      </c>
      <c r="M40" s="218"/>
      <c r="N40" s="218"/>
      <c r="O40" s="217">
        <f>O35</f>
        <v>1.0957792207792208E-2</v>
      </c>
      <c r="P40" s="218"/>
      <c r="Q40" s="218"/>
      <c r="R40" s="219"/>
      <c r="S40" s="219"/>
      <c r="T40" s="219"/>
      <c r="U40" s="219"/>
      <c r="V40" s="219"/>
      <c r="W40" s="219"/>
      <c r="X40" s="219"/>
      <c r="Y40" s="220"/>
      <c r="Z40" s="221"/>
      <c r="AA40" s="222"/>
      <c r="AB40" s="221"/>
      <c r="AC40" s="222"/>
      <c r="AD40" s="221"/>
      <c r="AE40" s="223">
        <f>AE35/1000000/1.163</f>
        <v>8.1314652104983863E-5</v>
      </c>
      <c r="AF40" s="224"/>
      <c r="AG40" s="224"/>
      <c r="AH40" s="225"/>
      <c r="AI40" s="226"/>
      <c r="AJ40" s="227">
        <f>AJ35</f>
        <v>59.991145218417948</v>
      </c>
      <c r="AK40" s="227"/>
      <c r="AL40" s="225"/>
    </row>
    <row r="41" spans="2:38" x14ac:dyDescent="0.25">
      <c r="D41" s="228"/>
      <c r="E41" s="229"/>
      <c r="F41" s="229"/>
      <c r="G41" s="229"/>
      <c r="H41" s="229"/>
      <c r="I41" s="229"/>
      <c r="J41" s="229"/>
      <c r="K41" s="229"/>
      <c r="L41" s="229"/>
      <c r="M41" s="229"/>
      <c r="N41" s="229"/>
      <c r="O41" s="229"/>
      <c r="P41" s="229"/>
      <c r="Q41" s="229"/>
      <c r="R41" s="229"/>
      <c r="S41" s="229"/>
      <c r="T41" s="229"/>
      <c r="U41" s="229"/>
      <c r="V41" s="229"/>
      <c r="W41" s="229"/>
      <c r="X41" s="229"/>
      <c r="Y41" s="229"/>
      <c r="Z41" s="229"/>
      <c r="AA41" s="229"/>
      <c r="AB41" s="229"/>
      <c r="AC41" s="229"/>
      <c r="AD41" s="229"/>
      <c r="AE41" s="229"/>
      <c r="AF41" s="229"/>
      <c r="AG41" s="229"/>
      <c r="AI41" s="228"/>
      <c r="AJ41" s="229"/>
      <c r="AK41" s="229"/>
    </row>
    <row r="42" spans="2:38" x14ac:dyDescent="0.25">
      <c r="C42" s="269" t="s">
        <v>64</v>
      </c>
      <c r="D42" s="269"/>
      <c r="E42" s="269"/>
      <c r="F42" s="269"/>
      <c r="G42" s="269"/>
      <c r="H42" s="229"/>
      <c r="I42" s="229"/>
      <c r="J42" s="229"/>
      <c r="K42" s="229"/>
      <c r="L42" s="229"/>
      <c r="M42" s="229"/>
      <c r="N42" s="229"/>
      <c r="O42" s="229"/>
      <c r="P42" s="229"/>
      <c r="Q42" s="229"/>
      <c r="R42" s="229"/>
      <c r="S42" s="229"/>
      <c r="T42" s="229"/>
      <c r="U42" s="229"/>
      <c r="V42" s="229"/>
      <c r="W42" s="229"/>
      <c r="X42" s="229"/>
      <c r="Y42" s="229"/>
      <c r="Z42" s="229"/>
      <c r="AA42" s="229"/>
      <c r="AB42" s="229"/>
      <c r="AC42" s="229"/>
      <c r="AD42" s="229"/>
      <c r="AE42" s="229"/>
      <c r="AF42" s="229"/>
      <c r="AG42" s="229"/>
      <c r="AI42" s="228"/>
      <c r="AJ42" s="229"/>
      <c r="AK42" s="229"/>
    </row>
    <row r="43" spans="2:38" x14ac:dyDescent="0.25">
      <c r="D43" s="228"/>
      <c r="E43" s="229"/>
      <c r="F43" s="229"/>
      <c r="G43" s="229"/>
      <c r="H43" s="229"/>
      <c r="I43" s="229"/>
      <c r="J43" s="229"/>
      <c r="K43" s="229"/>
      <c r="L43" s="229"/>
      <c r="M43" s="229"/>
      <c r="N43" s="229"/>
      <c r="O43" s="229"/>
      <c r="P43" s="229"/>
      <c r="Q43" s="229"/>
      <c r="R43" s="229"/>
      <c r="S43" s="229"/>
      <c r="T43" s="229"/>
      <c r="U43" s="229"/>
      <c r="V43" s="229"/>
      <c r="W43" s="229"/>
      <c r="X43" s="229"/>
      <c r="Y43" s="229"/>
      <c r="Z43" s="229"/>
      <c r="AA43" s="229"/>
      <c r="AB43" s="229"/>
      <c r="AC43" s="229"/>
      <c r="AD43" s="229"/>
      <c r="AE43" s="229"/>
      <c r="AF43" s="229"/>
      <c r="AG43" s="229"/>
      <c r="AI43" s="228"/>
      <c r="AJ43" s="229"/>
      <c r="AK43" s="229"/>
    </row>
    <row r="44" spans="2:38" ht="15.75" x14ac:dyDescent="0.25">
      <c r="B44" s="230" t="s">
        <v>68</v>
      </c>
      <c r="C44" s="231"/>
      <c r="D44" s="231"/>
      <c r="E44" s="231"/>
      <c r="F44" s="231"/>
      <c r="G44" s="231"/>
      <c r="H44" s="231"/>
      <c r="I44" s="231"/>
      <c r="J44" s="231"/>
      <c r="K44" s="231"/>
      <c r="L44" s="231"/>
      <c r="M44" s="231"/>
      <c r="N44" s="231"/>
      <c r="O44" s="231"/>
      <c r="P44" s="231"/>
      <c r="Q44" s="231"/>
      <c r="R44" s="231"/>
      <c r="S44" s="231"/>
      <c r="T44" s="231"/>
      <c r="U44" s="232"/>
      <c r="V44" s="232"/>
    </row>
    <row r="45" spans="2:38" ht="15.75" x14ac:dyDescent="0.25">
      <c r="B45" s="233"/>
      <c r="C45" s="260" t="s">
        <v>69</v>
      </c>
      <c r="D45" s="260"/>
      <c r="E45" s="260"/>
      <c r="F45" s="260"/>
      <c r="G45" s="260"/>
      <c r="H45" s="260"/>
      <c r="I45" s="260"/>
      <c r="J45" s="260"/>
      <c r="K45" s="260"/>
      <c r="L45" s="260"/>
      <c r="M45" s="260"/>
      <c r="N45" s="260"/>
      <c r="O45" s="260"/>
      <c r="P45" s="260"/>
      <c r="Q45" s="260"/>
      <c r="R45" s="260"/>
      <c r="S45" s="260"/>
      <c r="T45" s="260"/>
      <c r="U45" s="260"/>
      <c r="V45" s="260"/>
    </row>
    <row r="46" spans="2:38" ht="15.75" x14ac:dyDescent="0.25">
      <c r="B46" s="233"/>
      <c r="C46" s="259" t="s">
        <v>79</v>
      </c>
      <c r="D46" s="259"/>
      <c r="E46" s="259"/>
      <c r="F46" s="259"/>
      <c r="G46" s="259"/>
      <c r="H46" s="259"/>
      <c r="I46" s="259"/>
      <c r="J46" s="259"/>
      <c r="K46" s="259"/>
      <c r="L46" s="259"/>
      <c r="M46" s="259"/>
      <c r="N46" s="259"/>
      <c r="O46" s="259"/>
      <c r="P46" s="259"/>
      <c r="Q46" s="259"/>
      <c r="R46" s="259"/>
      <c r="S46" s="259"/>
      <c r="T46" s="259"/>
      <c r="U46" s="259"/>
      <c r="V46" s="259"/>
    </row>
    <row r="47" spans="2:38" ht="15.75" x14ac:dyDescent="0.25">
      <c r="B47" s="233"/>
      <c r="C47" s="260" t="s">
        <v>85</v>
      </c>
      <c r="D47" s="260"/>
      <c r="E47" s="260"/>
      <c r="F47" s="260"/>
      <c r="G47" s="260"/>
      <c r="H47" s="260"/>
      <c r="I47" s="260"/>
      <c r="J47" s="260"/>
      <c r="K47" s="260"/>
      <c r="L47" s="260"/>
      <c r="M47" s="260"/>
      <c r="N47" s="260"/>
      <c r="O47" s="260"/>
      <c r="P47" s="260"/>
      <c r="Q47" s="260"/>
      <c r="R47" s="260"/>
      <c r="S47" s="260"/>
      <c r="T47" s="260"/>
      <c r="U47" s="260"/>
      <c r="V47" s="260"/>
    </row>
    <row r="48" spans="2:38" ht="15.75" x14ac:dyDescent="0.25">
      <c r="C48" s="260" t="s">
        <v>83</v>
      </c>
      <c r="D48" s="260"/>
      <c r="E48" s="260"/>
      <c r="F48" s="260"/>
      <c r="G48" s="260"/>
      <c r="H48" s="260"/>
      <c r="I48" s="260"/>
      <c r="J48" s="260"/>
      <c r="K48" s="260"/>
      <c r="L48" s="260"/>
      <c r="M48" s="260"/>
      <c r="N48" s="260"/>
      <c r="O48" s="260"/>
      <c r="P48" s="260"/>
      <c r="Q48" s="260"/>
      <c r="R48" s="260"/>
      <c r="S48" s="260"/>
      <c r="T48" s="260"/>
      <c r="U48" s="260"/>
      <c r="V48" s="260"/>
    </row>
    <row r="49" spans="3:22" ht="15.75" x14ac:dyDescent="0.25">
      <c r="C49" s="245" t="s">
        <v>103</v>
      </c>
      <c r="D49" s="245"/>
      <c r="E49" s="245"/>
      <c r="F49" s="245"/>
      <c r="G49" s="245"/>
      <c r="H49" s="245"/>
      <c r="I49" s="245"/>
      <c r="J49" s="245"/>
      <c r="K49" s="245"/>
      <c r="L49" s="245"/>
      <c r="M49" s="245"/>
      <c r="N49" s="245"/>
      <c r="O49" s="245"/>
      <c r="P49" s="245"/>
      <c r="Q49" s="245"/>
      <c r="R49" s="245"/>
      <c r="S49" s="245"/>
      <c r="T49" s="245"/>
      <c r="U49" s="245"/>
      <c r="V49" s="245"/>
    </row>
    <row r="50" spans="3:22" ht="27" customHeight="1" x14ac:dyDescent="0.25">
      <c r="C50" s="287" t="s">
        <v>75</v>
      </c>
      <c r="D50" s="288" t="s">
        <v>80</v>
      </c>
      <c r="E50" s="288"/>
      <c r="F50" s="288"/>
      <c r="G50" s="288"/>
      <c r="H50" s="288"/>
      <c r="I50" s="288"/>
      <c r="J50" s="288"/>
      <c r="K50" s="288"/>
      <c r="L50" s="288" t="s">
        <v>81</v>
      </c>
      <c r="M50" s="288"/>
      <c r="N50" s="288" t="s">
        <v>82</v>
      </c>
      <c r="O50" s="288"/>
      <c r="P50" s="288"/>
      <c r="Q50" s="288"/>
      <c r="R50" s="288"/>
      <c r="S50" s="288"/>
      <c r="T50" s="288"/>
    </row>
    <row r="51" spans="3:22" ht="51.75" customHeight="1" x14ac:dyDescent="0.25">
      <c r="C51" s="287"/>
      <c r="D51" s="283" t="s">
        <v>76</v>
      </c>
      <c r="E51" s="284"/>
      <c r="F51" s="284"/>
      <c r="G51" s="284"/>
      <c r="H51" s="284"/>
      <c r="I51" s="284"/>
      <c r="J51" s="284"/>
      <c r="K51" s="284"/>
      <c r="L51" s="285">
        <v>10400000</v>
      </c>
      <c r="M51" s="286"/>
      <c r="N51" s="289" t="s">
        <v>104</v>
      </c>
      <c r="O51" s="289"/>
      <c r="P51" s="289"/>
      <c r="Q51" s="289"/>
      <c r="R51" s="289"/>
      <c r="S51" s="289"/>
      <c r="T51" s="289"/>
    </row>
    <row r="52" spans="3:22" ht="36.75" customHeight="1" x14ac:dyDescent="0.25">
      <c r="C52" s="287"/>
      <c r="D52" s="283" t="s">
        <v>77</v>
      </c>
      <c r="E52" s="284"/>
      <c r="F52" s="284"/>
      <c r="G52" s="284"/>
      <c r="H52" s="284"/>
      <c r="I52" s="284"/>
      <c r="J52" s="284"/>
      <c r="K52" s="284"/>
      <c r="L52" s="285">
        <v>30000000</v>
      </c>
      <c r="M52" s="286"/>
      <c r="N52" s="290" t="s">
        <v>105</v>
      </c>
      <c r="O52" s="291"/>
      <c r="P52" s="291"/>
      <c r="Q52" s="291"/>
      <c r="R52" s="291"/>
      <c r="S52" s="291"/>
      <c r="T52" s="292"/>
      <c r="U52" s="255"/>
    </row>
    <row r="53" spans="3:22" ht="105" customHeight="1" x14ac:dyDescent="0.25">
      <c r="C53" s="287"/>
      <c r="D53" s="283" t="s">
        <v>78</v>
      </c>
      <c r="E53" s="284"/>
      <c r="F53" s="284"/>
      <c r="G53" s="284"/>
      <c r="H53" s="284"/>
      <c r="I53" s="284"/>
      <c r="J53" s="284"/>
      <c r="K53" s="284"/>
      <c r="L53" s="285">
        <v>13476000</v>
      </c>
      <c r="M53" s="286"/>
      <c r="N53" s="293" t="s">
        <v>90</v>
      </c>
      <c r="O53" s="294"/>
      <c r="P53" s="294"/>
      <c r="Q53" s="294"/>
      <c r="R53" s="294"/>
      <c r="S53" s="294"/>
      <c r="T53" s="294"/>
    </row>
    <row r="54" spans="3:22" ht="15.75" x14ac:dyDescent="0.25">
      <c r="C54" s="281" t="s">
        <v>54</v>
      </c>
      <c r="D54" s="281"/>
      <c r="E54" s="281"/>
      <c r="F54" s="281"/>
      <c r="G54" s="281"/>
      <c r="H54" s="281"/>
      <c r="I54" s="281"/>
      <c r="J54" s="281"/>
      <c r="K54" s="281"/>
      <c r="L54" s="282">
        <f>SUM(L51:M53)</f>
        <v>53876000</v>
      </c>
      <c r="M54" s="282"/>
      <c r="N54" s="289"/>
      <c r="O54" s="289"/>
      <c r="P54" s="289"/>
      <c r="Q54" s="289"/>
      <c r="R54" s="289"/>
      <c r="S54" s="289"/>
      <c r="T54" s="289"/>
    </row>
  </sheetData>
  <mergeCells count="73">
    <mergeCell ref="AI6:AK7"/>
    <mergeCell ref="AK8:AK9"/>
    <mergeCell ref="C6:C9"/>
    <mergeCell ref="K6:X7"/>
    <mergeCell ref="R8:R9"/>
    <mergeCell ref="T8:T9"/>
    <mergeCell ref="U8:U9"/>
    <mergeCell ref="V8:V9"/>
    <mergeCell ref="W8:W9"/>
    <mergeCell ref="P8:P9"/>
    <mergeCell ref="X8:X9"/>
    <mergeCell ref="B6:B10"/>
    <mergeCell ref="D6:G7"/>
    <mergeCell ref="H6:J7"/>
    <mergeCell ref="C4:AJ4"/>
    <mergeCell ref="Y6:AE7"/>
    <mergeCell ref="AF6:AF9"/>
    <mergeCell ref="AG6:AG9"/>
    <mergeCell ref="AH6:AH9"/>
    <mergeCell ref="K8:K9"/>
    <mergeCell ref="L8:L9"/>
    <mergeCell ref="M8:M9"/>
    <mergeCell ref="N8:N9"/>
    <mergeCell ref="O8:O9"/>
    <mergeCell ref="AC8:AD8"/>
    <mergeCell ref="AE8:AE9"/>
    <mergeCell ref="AI8:AI9"/>
    <mergeCell ref="K32:M32"/>
    <mergeCell ref="C32:J32"/>
    <mergeCell ref="H37:J37"/>
    <mergeCell ref="Y8:Z8"/>
    <mergeCell ref="AA8:AB8"/>
    <mergeCell ref="S8:S9"/>
    <mergeCell ref="B11:AL11"/>
    <mergeCell ref="AL6:AL9"/>
    <mergeCell ref="D8:D9"/>
    <mergeCell ref="E8:E9"/>
    <mergeCell ref="F8:F9"/>
    <mergeCell ref="G8:G9"/>
    <mergeCell ref="H8:H9"/>
    <mergeCell ref="I8:I9"/>
    <mergeCell ref="J8:J9"/>
    <mergeCell ref="AJ8:AJ9"/>
    <mergeCell ref="N54:T54"/>
    <mergeCell ref="N50:T50"/>
    <mergeCell ref="N51:T51"/>
    <mergeCell ref="N52:T52"/>
    <mergeCell ref="N53:T53"/>
    <mergeCell ref="C54:K54"/>
    <mergeCell ref="L54:M54"/>
    <mergeCell ref="D51:K51"/>
    <mergeCell ref="L51:M51"/>
    <mergeCell ref="D52:K52"/>
    <mergeCell ref="L52:M52"/>
    <mergeCell ref="D53:K53"/>
    <mergeCell ref="L53:M53"/>
    <mergeCell ref="C50:C53"/>
    <mergeCell ref="D50:K50"/>
    <mergeCell ref="L50:M50"/>
    <mergeCell ref="B36:B37"/>
    <mergeCell ref="C46:V46"/>
    <mergeCell ref="C47:V47"/>
    <mergeCell ref="C48:V48"/>
    <mergeCell ref="B38:AL38"/>
    <mergeCell ref="D39:K39"/>
    <mergeCell ref="D40:K40"/>
    <mergeCell ref="C42:G42"/>
    <mergeCell ref="C45:V45"/>
    <mergeCell ref="C36:C37"/>
    <mergeCell ref="D36:G36"/>
    <mergeCell ref="H36:J36"/>
    <mergeCell ref="K36:AL36"/>
    <mergeCell ref="D37:G37"/>
  </mergeCells>
  <pageMargins left="0.7" right="0.7" top="0.75" bottom="0.75" header="0.3" footer="0.3"/>
  <pageSetup paperSize="8" scale="5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workbookViewId="0">
      <selection activeCell="D9" sqref="D9"/>
    </sheetView>
  </sheetViews>
  <sheetFormatPr defaultRowHeight="15" x14ac:dyDescent="0.25"/>
  <cols>
    <col min="1" max="1" width="3.7109375" customWidth="1"/>
    <col min="2" max="2" width="22.140625" bestFit="1" customWidth="1"/>
    <col min="3" max="3" width="15.140625" style="256" bestFit="1" customWidth="1"/>
    <col min="4" max="4" width="15.140625" bestFit="1" customWidth="1"/>
  </cols>
  <sheetData>
    <row r="1" spans="1:4" x14ac:dyDescent="0.25">
      <c r="A1" t="s">
        <v>93</v>
      </c>
      <c r="B1" t="s">
        <v>96</v>
      </c>
      <c r="C1" s="256" t="s">
        <v>106</v>
      </c>
      <c r="D1" t="s">
        <v>101</v>
      </c>
    </row>
    <row r="2" spans="1:4" x14ac:dyDescent="0.25">
      <c r="A2">
        <v>1</v>
      </c>
      <c r="B2" t="s">
        <v>94</v>
      </c>
      <c r="C2" s="256">
        <f>Лист1!L31+Лист1!O32+Лист1!L52</f>
        <v>55185600</v>
      </c>
      <c r="D2" s="256">
        <f>C2*1.25</f>
        <v>68982000</v>
      </c>
    </row>
    <row r="3" spans="1:4" x14ac:dyDescent="0.25">
      <c r="A3">
        <v>2</v>
      </c>
      <c r="B3" t="s">
        <v>95</v>
      </c>
      <c r="C3" s="256">
        <f>Лист1!O31+Лист1!P32</f>
        <v>41867800</v>
      </c>
      <c r="D3" s="256">
        <f t="shared" ref="D3:D7" si="0">C3*1.25</f>
        <v>52334750</v>
      </c>
    </row>
    <row r="4" spans="1:4" x14ac:dyDescent="0.25">
      <c r="A4">
        <v>3</v>
      </c>
      <c r="B4" t="s">
        <v>97</v>
      </c>
      <c r="C4" s="256">
        <f>Лист1!S31+Лист1!U32+Лист1!V32</f>
        <v>30024400</v>
      </c>
      <c r="D4" s="256">
        <f t="shared" si="0"/>
        <v>37530500</v>
      </c>
    </row>
    <row r="5" spans="1:4" x14ac:dyDescent="0.25">
      <c r="A5">
        <v>4</v>
      </c>
      <c r="B5" t="s">
        <v>98</v>
      </c>
      <c r="C5" s="256">
        <f>Лист1!AF31+Лист1!AG31+Лист1!AH32</f>
        <v>69156079.406142592</v>
      </c>
      <c r="D5" s="256">
        <f t="shared" si="0"/>
        <v>86445099.257678241</v>
      </c>
    </row>
    <row r="6" spans="1:4" x14ac:dyDescent="0.25">
      <c r="A6">
        <v>5</v>
      </c>
      <c r="B6" t="s">
        <v>99</v>
      </c>
      <c r="C6" s="256">
        <f>Лист1!AJ31+Лист1!AK32+Лист1!L51</f>
        <v>73070000</v>
      </c>
      <c r="D6" s="256">
        <f t="shared" si="0"/>
        <v>91337500</v>
      </c>
    </row>
    <row r="7" spans="1:4" x14ac:dyDescent="0.25">
      <c r="A7">
        <v>6</v>
      </c>
      <c r="B7" t="s">
        <v>100</v>
      </c>
      <c r="C7" s="256">
        <f>Лист1!AL31+Лист1!L53</f>
        <v>28476000</v>
      </c>
      <c r="D7" s="256">
        <f t="shared" si="0"/>
        <v>35595000</v>
      </c>
    </row>
    <row r="8" spans="1:4" x14ac:dyDescent="0.25">
      <c r="C8" s="256">
        <f>SUM(C2:C7)</f>
        <v>297779879.40614259</v>
      </c>
      <c r="D8" s="256">
        <f>SUM(D2:D7)</f>
        <v>372224849.25767827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Затраты на сети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Ершов Виталий Юрьевич</dc:creator>
  <cp:lastModifiedBy>Бочков Виктор Владимирович</cp:lastModifiedBy>
  <cp:lastPrinted>2022-01-12T10:10:46Z</cp:lastPrinted>
  <dcterms:created xsi:type="dcterms:W3CDTF">2020-09-01T10:14:55Z</dcterms:created>
  <dcterms:modified xsi:type="dcterms:W3CDTF">2022-05-24T18:43:43Z</dcterms:modified>
</cp:coreProperties>
</file>